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3040" windowHeight="9072" tabRatio="718"/>
  </bookViews>
  <sheets>
    <sheet name="Page de garde" sheetId="6" r:id="rId1"/>
    <sheet name="RECAP" sheetId="33" r:id="rId2"/>
    <sheet name="Ech financier" sheetId="38" r:id="rId3"/>
    <sheet name="LOT VRD" sheetId="44" r:id="rId4"/>
    <sheet name="LOT FOND" sheetId="17" r:id="rId5"/>
    <sheet name="LOT GO" sheetId="19" r:id="rId6"/>
    <sheet name="LOT ETAN" sheetId="20" r:id="rId7"/>
    <sheet name="LOT FACA" sheetId="22" r:id="rId8"/>
    <sheet name="LOT MEX" sheetId="21" r:id="rId9"/>
    <sheet name="LOT DEM" sheetId="18" r:id="rId10"/>
    <sheet name="LOT CLOI" sheetId="23" r:id="rId11"/>
    <sheet name="LOT PLA" sheetId="39" r:id="rId12"/>
    <sheet name="LOT MINT" sheetId="24" r:id="rId13"/>
    <sheet name="LOT SOL" sheetId="26" r:id="rId14"/>
    <sheet name="LOT PAU" sheetId="27" r:id="rId15"/>
    <sheet name="LOT CVC" sheetId="43" r:id="rId16"/>
    <sheet name="LOT PLB" sheetId="42" r:id="rId17"/>
    <sheet name="LOT FLU" sheetId="41" r:id="rId18"/>
    <sheet name="LOT CFO" sheetId="31" r:id="rId19"/>
    <sheet name="LOT CFA" sheetId="32" r:id="rId20"/>
    <sheet name="LOT NET" sheetId="40" r:id="rId21"/>
  </sheets>
  <definedNames>
    <definedName name="_xlnm.Print_Titles" localSheetId="2">'Ech financier'!$B:$B,'Ech financier'!$2:$4</definedName>
    <definedName name="_xlnm.Print_Titles" localSheetId="19">'LOT CFA'!$1:$5</definedName>
    <definedName name="_xlnm.Print_Titles" localSheetId="18">'LOT CFO'!$1:$5</definedName>
    <definedName name="_xlnm.Print_Titles" localSheetId="10">'LOT CLOI'!$1:$5</definedName>
    <definedName name="_xlnm.Print_Titles" localSheetId="15">'LOT CVC'!$1:$5</definedName>
    <definedName name="_xlnm.Print_Titles" localSheetId="9">'LOT DEM'!$1:$5</definedName>
    <definedName name="_xlnm.Print_Titles" localSheetId="6">'LOT ETAN'!$1:$5</definedName>
    <definedName name="_xlnm.Print_Titles" localSheetId="7">'LOT FACA'!$1:$5</definedName>
    <definedName name="_xlnm.Print_Titles" localSheetId="17">'LOT FLU'!$1:$5</definedName>
    <definedName name="_xlnm.Print_Titles" localSheetId="4">'LOT FOND'!$1:$5</definedName>
    <definedName name="_xlnm.Print_Titles" localSheetId="5">'LOT GO'!$1:$5</definedName>
    <definedName name="_xlnm.Print_Titles" localSheetId="8">'LOT MEX'!$1:$5</definedName>
    <definedName name="_xlnm.Print_Titles" localSheetId="12">'LOT MINT'!$1:$5</definedName>
    <definedName name="_xlnm.Print_Titles" localSheetId="20">'LOT NET'!$1:$5</definedName>
    <definedName name="_xlnm.Print_Titles" localSheetId="14">'LOT PAU'!$1:$5</definedName>
    <definedName name="_xlnm.Print_Titles" localSheetId="11">'LOT PLA'!$1:$5</definedName>
    <definedName name="_xlnm.Print_Titles" localSheetId="16">'LOT PLB'!$1:$5</definedName>
    <definedName name="_xlnm.Print_Titles" localSheetId="13">'LOT SOL'!$1:$5</definedName>
    <definedName name="_xlnm.Print_Titles" localSheetId="3">'LOT VRD'!$1:$5</definedName>
    <definedName name="_xlnm.Print_Area" localSheetId="2">'Ech financier'!$A$1:$BB$91</definedName>
    <definedName name="_xlnm.Print_Area" localSheetId="19">'LOT CFA'!$A$1:$AA$105</definedName>
    <definedName name="_xlnm.Print_Area" localSheetId="18">'LOT CFO'!$A$1:$AA$317</definedName>
    <definedName name="_xlnm.Print_Area" localSheetId="10">'LOT CLOI'!$A$1:$AA$62</definedName>
    <definedName name="_xlnm.Print_Area" localSheetId="15">'LOT CVC'!$A$1:$AA$204</definedName>
    <definedName name="_xlnm.Print_Area" localSheetId="9">'LOT DEM'!$A$1:$AA$20</definedName>
    <definedName name="_xlnm.Print_Area" localSheetId="6">'LOT ETAN'!$A$1:$AA$41</definedName>
    <definedName name="_xlnm.Print_Area" localSheetId="7">'LOT FACA'!$A$1:$AA$49</definedName>
    <definedName name="_xlnm.Print_Area" localSheetId="17">'LOT FLU'!$A$1:$AA$48</definedName>
    <definedName name="_xlnm.Print_Area" localSheetId="4">'LOT FOND'!$A$1:$AA$32</definedName>
    <definedName name="_xlnm.Print_Area" localSheetId="5">'LOT GO'!$A$1:$AA$115</definedName>
    <definedName name="_xlnm.Print_Area" localSheetId="8">'LOT MEX'!$A$1:$AA$69</definedName>
    <definedName name="_xlnm.Print_Area" localSheetId="12">'LOT MINT'!$A$1:$AA$125</definedName>
    <definedName name="_xlnm.Print_Area" localSheetId="20">'LOT NET'!$A$1:$AA$19</definedName>
    <definedName name="_xlnm.Print_Area" localSheetId="14">'LOT PAU'!$A$1:$AA$31</definedName>
    <definedName name="_xlnm.Print_Area" localSheetId="16">'LOT PLB'!$A$1:$AA$87</definedName>
    <definedName name="_xlnm.Print_Area" localSheetId="13">'LOT SOL'!$A$1:$AA$32</definedName>
    <definedName name="_xlnm.Print_Area" localSheetId="3">'LOT VRD'!$A$1:$AA$99</definedName>
    <definedName name="_xlnm.Print_Area" localSheetId="0">'Page de garde'!$B$2:$J$30</definedName>
    <definedName name="_xlnm.Print_Area" localSheetId="1">RECAP!$A$1:$I$27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13" i="38" l="1"/>
  <c r="AI13" i="38"/>
  <c r="AO13" i="38"/>
  <c r="AU13" i="38"/>
  <c r="AW13" i="38"/>
  <c r="AX13" i="38"/>
  <c r="G307" i="31" l="1"/>
  <c r="AA327" i="31"/>
  <c r="W327" i="31"/>
  <c r="E327" i="31"/>
  <c r="AA326" i="31"/>
  <c r="W326" i="31"/>
  <c r="E326" i="31"/>
  <c r="AA325" i="31"/>
  <c r="W325" i="31"/>
  <c r="E325" i="31"/>
  <c r="AA324" i="31"/>
  <c r="W324" i="31"/>
  <c r="E324" i="31"/>
  <c r="AA323" i="31"/>
  <c r="W323" i="31"/>
  <c r="O323" i="31"/>
  <c r="E323" i="31"/>
  <c r="AA322" i="31"/>
  <c r="W322" i="31"/>
  <c r="O322" i="31"/>
  <c r="E322" i="31"/>
  <c r="AA306" i="31"/>
  <c r="W306" i="31"/>
  <c r="S306" i="31"/>
  <c r="O306" i="31"/>
  <c r="K306" i="31"/>
  <c r="E306" i="31"/>
  <c r="AA305" i="31"/>
  <c r="W305" i="31"/>
  <c r="S305" i="31"/>
  <c r="O305" i="31"/>
  <c r="K305" i="31"/>
  <c r="E305" i="31"/>
  <c r="AA304" i="31"/>
  <c r="W304" i="31"/>
  <c r="S304" i="31"/>
  <c r="O304" i="31"/>
  <c r="K304" i="31"/>
  <c r="E304" i="31"/>
  <c r="AA296" i="31"/>
  <c r="AA300" i="31" s="1"/>
  <c r="W296" i="31"/>
  <c r="W300" i="31" s="1"/>
  <c r="S296" i="31"/>
  <c r="O296" i="31"/>
  <c r="O300" i="31" s="1"/>
  <c r="K296" i="31"/>
  <c r="K300" i="31" s="1"/>
  <c r="E296" i="31"/>
  <c r="AA290" i="31"/>
  <c r="W290" i="31"/>
  <c r="S290" i="31"/>
  <c r="O290" i="31"/>
  <c r="K290" i="31"/>
  <c r="AA289" i="31"/>
  <c r="W289" i="31"/>
  <c r="S289" i="31"/>
  <c r="O289" i="31"/>
  <c r="K289" i="31"/>
  <c r="E289" i="31"/>
  <c r="AA288" i="31"/>
  <c r="W288" i="31"/>
  <c r="S288" i="31"/>
  <c r="O288" i="31"/>
  <c r="K288" i="31"/>
  <c r="E288" i="31"/>
  <c r="AA287" i="31"/>
  <c r="W287" i="31"/>
  <c r="S287" i="31"/>
  <c r="O287" i="31"/>
  <c r="K287" i="31"/>
  <c r="E287" i="31"/>
  <c r="AA286" i="31"/>
  <c r="W286" i="31"/>
  <c r="S286" i="31"/>
  <c r="O286" i="31"/>
  <c r="K286" i="31"/>
  <c r="E286" i="31"/>
  <c r="AA285" i="31"/>
  <c r="W285" i="31"/>
  <c r="S285" i="31"/>
  <c r="O285" i="31"/>
  <c r="K285" i="31"/>
  <c r="E285" i="31"/>
  <c r="AA284" i="31"/>
  <c r="W284" i="31"/>
  <c r="S284" i="31"/>
  <c r="O284" i="31"/>
  <c r="K284" i="31"/>
  <c r="E284" i="31"/>
  <c r="AA281" i="31"/>
  <c r="W281" i="31"/>
  <c r="S281" i="31"/>
  <c r="O281" i="31"/>
  <c r="K281" i="31"/>
  <c r="E281" i="31"/>
  <c r="AA280" i="31"/>
  <c r="W280" i="31"/>
  <c r="S280" i="31"/>
  <c r="O280" i="31"/>
  <c r="K280" i="31"/>
  <c r="E280" i="31"/>
  <c r="AA279" i="31"/>
  <c r="W279" i="31"/>
  <c r="S279" i="31"/>
  <c r="O279" i="31"/>
  <c r="K279" i="31"/>
  <c r="E279" i="31"/>
  <c r="AA278" i="31"/>
  <c r="W278" i="31"/>
  <c r="S278" i="31"/>
  <c r="O278" i="31"/>
  <c r="K278" i="31"/>
  <c r="E278" i="31"/>
  <c r="AA275" i="31"/>
  <c r="W275" i="31"/>
  <c r="S275" i="31"/>
  <c r="O275" i="31"/>
  <c r="K275" i="31"/>
  <c r="AA274" i="31"/>
  <c r="W274" i="31"/>
  <c r="S274" i="31"/>
  <c r="O274" i="31"/>
  <c r="K274" i="31"/>
  <c r="E274" i="31"/>
  <c r="AA273" i="31"/>
  <c r="W273" i="31"/>
  <c r="S273" i="31"/>
  <c r="O273" i="31"/>
  <c r="K273" i="31"/>
  <c r="E273" i="31"/>
  <c r="AA266" i="31"/>
  <c r="W266" i="31"/>
  <c r="S266" i="31"/>
  <c r="K266" i="31"/>
  <c r="AA265" i="31"/>
  <c r="W265" i="31"/>
  <c r="S265" i="31"/>
  <c r="O265" i="31"/>
  <c r="K265" i="31"/>
  <c r="E265" i="31"/>
  <c r="M264" i="31"/>
  <c r="O264" i="31" s="1"/>
  <c r="AA263" i="31"/>
  <c r="W263" i="31"/>
  <c r="S263" i="31"/>
  <c r="O263" i="31"/>
  <c r="K263" i="31"/>
  <c r="E263" i="31"/>
  <c r="AA262" i="31"/>
  <c r="W262" i="31"/>
  <c r="S262" i="31"/>
  <c r="O262" i="31"/>
  <c r="I262" i="31"/>
  <c r="E262" i="31" s="1"/>
  <c r="Y261" i="31"/>
  <c r="U261" i="31"/>
  <c r="W261" i="31" s="1"/>
  <c r="I261" i="31"/>
  <c r="K261" i="31" s="1"/>
  <c r="Y260" i="31"/>
  <c r="AA260" i="31" s="1"/>
  <c r="U260" i="31"/>
  <c r="W260" i="31" s="1"/>
  <c r="Q260" i="31"/>
  <c r="Q264" i="31" s="1"/>
  <c r="S264" i="31" s="1"/>
  <c r="O260" i="31"/>
  <c r="I260" i="31"/>
  <c r="K260" i="31" s="1"/>
  <c r="AA259" i="31"/>
  <c r="U259" i="31"/>
  <c r="E259" i="31" s="1"/>
  <c r="S259" i="31"/>
  <c r="O259" i="31"/>
  <c r="K259" i="31"/>
  <c r="AA258" i="31"/>
  <c r="W258" i="31"/>
  <c r="S258" i="31"/>
  <c r="O258" i="31"/>
  <c r="K258" i="31"/>
  <c r="E258" i="31"/>
  <c r="AA257" i="31"/>
  <c r="W257" i="31"/>
  <c r="S257" i="31"/>
  <c r="O257" i="31"/>
  <c r="K257" i="31"/>
  <c r="E257" i="31"/>
  <c r="AA255" i="31"/>
  <c r="W255" i="31"/>
  <c r="S255" i="31"/>
  <c r="O255" i="31"/>
  <c r="K255" i="31"/>
  <c r="E255" i="31"/>
  <c r="AA248" i="31"/>
  <c r="W248" i="31"/>
  <c r="S248" i="31"/>
  <c r="O248" i="31"/>
  <c r="K248" i="31"/>
  <c r="E248" i="31"/>
  <c r="AA247" i="31"/>
  <c r="W247" i="31"/>
  <c r="S247" i="31"/>
  <c r="O247" i="31"/>
  <c r="K247" i="31"/>
  <c r="E247" i="31"/>
  <c r="AA246" i="31"/>
  <c r="W246" i="31"/>
  <c r="S246" i="31"/>
  <c r="O246" i="31"/>
  <c r="K246" i="31"/>
  <c r="E246" i="31"/>
  <c r="AA245" i="31"/>
  <c r="W245" i="31"/>
  <c r="S245" i="31"/>
  <c r="O245" i="31"/>
  <c r="K245" i="31"/>
  <c r="E245" i="31"/>
  <c r="E243" i="31"/>
  <c r="AA242" i="31"/>
  <c r="W242" i="31"/>
  <c r="S242" i="31"/>
  <c r="O242" i="31"/>
  <c r="K242" i="31"/>
  <c r="E242" i="31"/>
  <c r="AA241" i="31"/>
  <c r="W241" i="31"/>
  <c r="S241" i="31"/>
  <c r="O241" i="31"/>
  <c r="K241" i="31"/>
  <c r="E241" i="31"/>
  <c r="AA240" i="31"/>
  <c r="W240" i="31"/>
  <c r="S240" i="31"/>
  <c r="O240" i="31"/>
  <c r="K240" i="31"/>
  <c r="E240" i="31"/>
  <c r="AA239" i="31"/>
  <c r="W239" i="31"/>
  <c r="S239" i="31"/>
  <c r="O239" i="31"/>
  <c r="K239" i="31"/>
  <c r="E239" i="31"/>
  <c r="AA233" i="31"/>
  <c r="W233" i="31"/>
  <c r="S233" i="31"/>
  <c r="O233" i="31"/>
  <c r="K233" i="31"/>
  <c r="E233" i="31"/>
  <c r="AA232" i="31"/>
  <c r="W232" i="31"/>
  <c r="S232" i="31"/>
  <c r="O232" i="31"/>
  <c r="K232" i="31"/>
  <c r="E232" i="31"/>
  <c r="AA226" i="31"/>
  <c r="W226" i="31"/>
  <c r="S226" i="31"/>
  <c r="O226" i="31"/>
  <c r="K226" i="31"/>
  <c r="E226" i="31"/>
  <c r="AA225" i="31"/>
  <c r="W225" i="31"/>
  <c r="S225" i="31"/>
  <c r="O225" i="31"/>
  <c r="K225" i="31"/>
  <c r="E225" i="31"/>
  <c r="AA224" i="31"/>
  <c r="W224" i="31"/>
  <c r="S224" i="31"/>
  <c r="O224" i="31"/>
  <c r="K224" i="31"/>
  <c r="E224" i="31"/>
  <c r="AA223" i="31"/>
  <c r="W223" i="31"/>
  <c r="S223" i="31"/>
  <c r="O223" i="31"/>
  <c r="K223" i="31"/>
  <c r="E223" i="31"/>
  <c r="AA222" i="31"/>
  <c r="W222" i="31"/>
  <c r="S222" i="31"/>
  <c r="O222" i="31"/>
  <c r="K222" i="31"/>
  <c r="E222" i="31"/>
  <c r="AA221" i="31"/>
  <c r="W221" i="31"/>
  <c r="S221" i="31"/>
  <c r="O221" i="31"/>
  <c r="K221" i="31"/>
  <c r="E221" i="31"/>
  <c r="AA213" i="31"/>
  <c r="W213" i="31"/>
  <c r="S213" i="31"/>
  <c r="O213" i="31"/>
  <c r="K213" i="31"/>
  <c r="AA212" i="31"/>
  <c r="W212" i="31"/>
  <c r="S212" i="31"/>
  <c r="O212" i="31"/>
  <c r="K212" i="31"/>
  <c r="E212" i="31"/>
  <c r="AA211" i="31"/>
  <c r="W211" i="31"/>
  <c r="S211" i="31"/>
  <c r="O211" i="31"/>
  <c r="K211" i="31"/>
  <c r="E211" i="31"/>
  <c r="AA210" i="31"/>
  <c r="W210" i="31"/>
  <c r="S210" i="31"/>
  <c r="O210" i="31"/>
  <c r="K210" i="31"/>
  <c r="E210" i="31"/>
  <c r="AA207" i="31"/>
  <c r="S207" i="31"/>
  <c r="O207" i="31"/>
  <c r="K207" i="31"/>
  <c r="E207" i="31"/>
  <c r="AA206" i="31"/>
  <c r="W206" i="31"/>
  <c r="S206" i="31"/>
  <c r="O206" i="31"/>
  <c r="K206" i="31"/>
  <c r="E206" i="31"/>
  <c r="AA205" i="31"/>
  <c r="W205" i="31"/>
  <c r="S205" i="31"/>
  <c r="O205" i="31"/>
  <c r="K205" i="31"/>
  <c r="E205" i="31"/>
  <c r="AA204" i="31"/>
  <c r="W204" i="31"/>
  <c r="S204" i="31"/>
  <c r="O204" i="31"/>
  <c r="K204" i="31"/>
  <c r="E204" i="31"/>
  <c r="AA203" i="31"/>
  <c r="W203" i="31"/>
  <c r="S203" i="31"/>
  <c r="O203" i="31"/>
  <c r="K203" i="31"/>
  <c r="E203" i="31"/>
  <c r="AA200" i="31"/>
  <c r="G200" i="31" s="1"/>
  <c r="E200" i="31"/>
  <c r="AA199" i="31"/>
  <c r="G199" i="31" s="1"/>
  <c r="AA198" i="31"/>
  <c r="G198" i="31" s="1"/>
  <c r="AA197" i="31"/>
  <c r="W197" i="31"/>
  <c r="S197" i="31"/>
  <c r="O197" i="31"/>
  <c r="K197" i="31"/>
  <c r="E197" i="31"/>
  <c r="AA196" i="31"/>
  <c r="W196" i="31"/>
  <c r="S196" i="31"/>
  <c r="O196" i="31"/>
  <c r="K196" i="31"/>
  <c r="E196" i="31"/>
  <c r="AA195" i="31"/>
  <c r="W195" i="31"/>
  <c r="Q195" i="31"/>
  <c r="S195" i="31" s="1"/>
  <c r="O195" i="31"/>
  <c r="K195" i="31"/>
  <c r="AA194" i="31"/>
  <c r="W194" i="31"/>
  <c r="S194" i="31"/>
  <c r="O194" i="31"/>
  <c r="K194" i="31"/>
  <c r="E194" i="31"/>
  <c r="AA193" i="31"/>
  <c r="W193" i="31"/>
  <c r="S193" i="31"/>
  <c r="O193" i="31"/>
  <c r="K193" i="31"/>
  <c r="E193" i="31"/>
  <c r="AA192" i="31"/>
  <c r="W192" i="31"/>
  <c r="S192" i="31"/>
  <c r="O192" i="31"/>
  <c r="K192" i="31"/>
  <c r="E192" i="31"/>
  <c r="AA191" i="31"/>
  <c r="W191" i="31"/>
  <c r="S191" i="31"/>
  <c r="O191" i="31"/>
  <c r="K191" i="31"/>
  <c r="E191" i="31"/>
  <c r="AA190" i="31"/>
  <c r="W190" i="31"/>
  <c r="S190" i="31"/>
  <c r="O190" i="31"/>
  <c r="K190" i="31"/>
  <c r="E190" i="31"/>
  <c r="AA189" i="31"/>
  <c r="U189" i="31"/>
  <c r="E189" i="31" s="1"/>
  <c r="S189" i="31"/>
  <c r="O189" i="31"/>
  <c r="K189" i="31"/>
  <c r="AA188" i="31"/>
  <c r="W188" i="31"/>
  <c r="Q188" i="31"/>
  <c r="S188" i="31" s="1"/>
  <c r="O188" i="31"/>
  <c r="K188" i="31"/>
  <c r="AA181" i="31"/>
  <c r="W181" i="31"/>
  <c r="S181" i="31"/>
  <c r="O181" i="31"/>
  <c r="K181" i="31"/>
  <c r="E181" i="31"/>
  <c r="AA180" i="31"/>
  <c r="W180" i="31"/>
  <c r="S180" i="31"/>
  <c r="O180" i="31"/>
  <c r="K180" i="31"/>
  <c r="E180" i="31"/>
  <c r="AA179" i="31"/>
  <c r="W179" i="31"/>
  <c r="S179" i="31"/>
  <c r="O179" i="31"/>
  <c r="K179" i="31"/>
  <c r="E179" i="31"/>
  <c r="AA178" i="31"/>
  <c r="W178" i="31"/>
  <c r="S178" i="31"/>
  <c r="O178" i="31"/>
  <c r="K178" i="31"/>
  <c r="E178" i="31"/>
  <c r="AA177" i="31"/>
  <c r="W177" i="31"/>
  <c r="S177" i="31"/>
  <c r="O177" i="31"/>
  <c r="K177" i="31"/>
  <c r="E177" i="31"/>
  <c r="AA176" i="31"/>
  <c r="W176" i="31"/>
  <c r="S176" i="31"/>
  <c r="O176" i="31"/>
  <c r="K176" i="31"/>
  <c r="E176" i="31"/>
  <c r="AA175" i="31"/>
  <c r="W175" i="31"/>
  <c r="S175" i="31"/>
  <c r="O175" i="31"/>
  <c r="K175" i="31"/>
  <c r="E175" i="31"/>
  <c r="AA174" i="31"/>
  <c r="W174" i="31"/>
  <c r="S174" i="31"/>
  <c r="O174" i="31"/>
  <c r="K174" i="31"/>
  <c r="E174" i="31"/>
  <c r="AA173" i="31"/>
  <c r="W173" i="31"/>
  <c r="S173" i="31"/>
  <c r="O173" i="31"/>
  <c r="K173" i="31"/>
  <c r="E173" i="31"/>
  <c r="AA172" i="31"/>
  <c r="W172" i="31"/>
  <c r="S172" i="31"/>
  <c r="O172" i="31"/>
  <c r="K172" i="31"/>
  <c r="E172" i="31"/>
  <c r="AA171" i="31"/>
  <c r="W171" i="31"/>
  <c r="S171" i="31"/>
  <c r="O171" i="31"/>
  <c r="K171" i="31"/>
  <c r="E171" i="31"/>
  <c r="AA170" i="31"/>
  <c r="W170" i="31"/>
  <c r="S170" i="31"/>
  <c r="O170" i="31"/>
  <c r="K170" i="31"/>
  <c r="E170" i="31"/>
  <c r="AA169" i="31"/>
  <c r="W169" i="31"/>
  <c r="S169" i="31"/>
  <c r="O169" i="31"/>
  <c r="K169" i="31"/>
  <c r="E169" i="31"/>
  <c r="AA163" i="31"/>
  <c r="W163" i="31"/>
  <c r="S163" i="31"/>
  <c r="O163" i="31"/>
  <c r="K163" i="31"/>
  <c r="E163" i="31"/>
  <c r="AA160" i="31"/>
  <c r="W160" i="31"/>
  <c r="S160" i="31"/>
  <c r="O160" i="31"/>
  <c r="K160" i="31"/>
  <c r="E160" i="31"/>
  <c r="AA159" i="31"/>
  <c r="W159" i="31"/>
  <c r="S159" i="31"/>
  <c r="O159" i="31"/>
  <c r="K159" i="31"/>
  <c r="E159" i="31"/>
  <c r="AA158" i="31"/>
  <c r="W158" i="31"/>
  <c r="S158" i="31"/>
  <c r="O158" i="31"/>
  <c r="K158" i="31"/>
  <c r="E158" i="31"/>
  <c r="AA157" i="31"/>
  <c r="W157" i="31"/>
  <c r="S157" i="31"/>
  <c r="O157" i="31"/>
  <c r="K157" i="31"/>
  <c r="E157" i="31"/>
  <c r="AA156" i="31"/>
  <c r="W156" i="31"/>
  <c r="S156" i="31"/>
  <c r="O156" i="31"/>
  <c r="K156" i="31"/>
  <c r="E156" i="31"/>
  <c r="AA155" i="31"/>
  <c r="W155" i="31"/>
  <c r="S155" i="31"/>
  <c r="O155" i="31"/>
  <c r="K155" i="31"/>
  <c r="E155" i="31"/>
  <c r="AA154" i="31"/>
  <c r="W154" i="31"/>
  <c r="S154" i="31"/>
  <c r="O154" i="31"/>
  <c r="K154" i="31"/>
  <c r="E154" i="31"/>
  <c r="AA153" i="31"/>
  <c r="O153" i="31"/>
  <c r="K153" i="31"/>
  <c r="E153" i="31"/>
  <c r="AA152" i="31"/>
  <c r="W152" i="31"/>
  <c r="S152" i="31"/>
  <c r="O152" i="31"/>
  <c r="K152" i="31"/>
  <c r="E152" i="31"/>
  <c r="AA151" i="31"/>
  <c r="W151" i="31"/>
  <c r="S151" i="31"/>
  <c r="O151" i="31"/>
  <c r="K151" i="31"/>
  <c r="E151" i="31"/>
  <c r="AA150" i="31"/>
  <c r="W150" i="31"/>
  <c r="S150" i="31"/>
  <c r="O150" i="31"/>
  <c r="K150" i="31"/>
  <c r="E150" i="31"/>
  <c r="AA149" i="31"/>
  <c r="W149" i="31"/>
  <c r="S149" i="31"/>
  <c r="O149" i="31"/>
  <c r="K149" i="31"/>
  <c r="E149" i="31"/>
  <c r="AA146" i="31"/>
  <c r="W146" i="31"/>
  <c r="S146" i="31"/>
  <c r="O146" i="31"/>
  <c r="K146" i="31"/>
  <c r="E146" i="31"/>
  <c r="AA145" i="31"/>
  <c r="W145" i="31"/>
  <c r="S145" i="31"/>
  <c r="O145" i="31"/>
  <c r="K145" i="31"/>
  <c r="E145" i="31"/>
  <c r="AA144" i="31"/>
  <c r="W144" i="31"/>
  <c r="S144" i="31"/>
  <c r="O144" i="31"/>
  <c r="K144" i="31"/>
  <c r="E144" i="31"/>
  <c r="AA143" i="31"/>
  <c r="W143" i="31"/>
  <c r="S143" i="31"/>
  <c r="O143" i="31"/>
  <c r="K143" i="31"/>
  <c r="E143" i="31"/>
  <c r="AA140" i="31"/>
  <c r="W140" i="31"/>
  <c r="S140" i="31"/>
  <c r="O140" i="31"/>
  <c r="K140" i="31"/>
  <c r="E140" i="31"/>
  <c r="AA139" i="31"/>
  <c r="W139" i="31"/>
  <c r="S139" i="31"/>
  <c r="O139" i="31"/>
  <c r="K139" i="31"/>
  <c r="E139" i="31"/>
  <c r="AA138" i="31"/>
  <c r="W138" i="31"/>
  <c r="S138" i="31"/>
  <c r="O138" i="31"/>
  <c r="K138" i="31"/>
  <c r="E138" i="31"/>
  <c r="AA137" i="31"/>
  <c r="W137" i="31"/>
  <c r="S137" i="31"/>
  <c r="O137" i="31"/>
  <c r="K137" i="31"/>
  <c r="E137" i="31"/>
  <c r="AA136" i="31"/>
  <c r="W136" i="31"/>
  <c r="Q136" i="31"/>
  <c r="E136" i="31" s="1"/>
  <c r="O136" i="31"/>
  <c r="K136" i="31"/>
  <c r="AA135" i="31"/>
  <c r="W135" i="31"/>
  <c r="S135" i="31"/>
  <c r="O135" i="31"/>
  <c r="K135" i="31"/>
  <c r="E135" i="31"/>
  <c r="AA129" i="31"/>
  <c r="G129" i="31" s="1"/>
  <c r="AA128" i="31"/>
  <c r="W128" i="31"/>
  <c r="S128" i="31"/>
  <c r="O128" i="31"/>
  <c r="K128" i="31"/>
  <c r="E128" i="31"/>
  <c r="AA127" i="31"/>
  <c r="W127" i="31"/>
  <c r="S127" i="31"/>
  <c r="O127" i="31"/>
  <c r="E127" i="31"/>
  <c r="AA126" i="31"/>
  <c r="W126" i="31"/>
  <c r="S126" i="31"/>
  <c r="O126" i="31"/>
  <c r="AA125" i="31"/>
  <c r="W125" i="31"/>
  <c r="S125" i="31"/>
  <c r="O125" i="31"/>
  <c r="E125" i="31"/>
  <c r="AA124" i="31"/>
  <c r="W124" i="31"/>
  <c r="S124" i="31"/>
  <c r="O124" i="31"/>
  <c r="E124" i="31"/>
  <c r="AA123" i="31"/>
  <c r="W123" i="31"/>
  <c r="S123" i="31"/>
  <c r="O123" i="31"/>
  <c r="E123" i="31"/>
  <c r="AA122" i="31"/>
  <c r="W122" i="31"/>
  <c r="S122" i="31"/>
  <c r="O122" i="31"/>
  <c r="K122" i="31"/>
  <c r="E122" i="31"/>
  <c r="AA119" i="31"/>
  <c r="W119" i="31"/>
  <c r="S119" i="31"/>
  <c r="O119" i="31"/>
  <c r="K119" i="31"/>
  <c r="E119" i="31"/>
  <c r="AA118" i="31"/>
  <c r="W118" i="31"/>
  <c r="S118" i="31"/>
  <c r="O118" i="31"/>
  <c r="K118" i="31"/>
  <c r="E118" i="31"/>
  <c r="AA117" i="31"/>
  <c r="W117" i="31"/>
  <c r="S117" i="31"/>
  <c r="O117" i="31"/>
  <c r="K117" i="31"/>
  <c r="E117" i="31"/>
  <c r="AA116" i="31"/>
  <c r="W116" i="31"/>
  <c r="S116" i="31"/>
  <c r="O116" i="31"/>
  <c r="K116" i="31"/>
  <c r="E116" i="31"/>
  <c r="AA115" i="31"/>
  <c r="W115" i="31"/>
  <c r="S115" i="31"/>
  <c r="O115" i="31"/>
  <c r="K115" i="31"/>
  <c r="E115" i="31"/>
  <c r="AA114" i="31"/>
  <c r="W114" i="31"/>
  <c r="S114" i="31"/>
  <c r="O114" i="31"/>
  <c r="K114" i="31"/>
  <c r="E114" i="31"/>
  <c r="AA111" i="31"/>
  <c r="W111" i="31"/>
  <c r="S111" i="31"/>
  <c r="O111" i="31"/>
  <c r="K111" i="31"/>
  <c r="E111" i="31"/>
  <c r="AA110" i="31"/>
  <c r="W110" i="31"/>
  <c r="S110" i="31"/>
  <c r="O110" i="31"/>
  <c r="K110" i="31"/>
  <c r="E110" i="31"/>
  <c r="AA109" i="31"/>
  <c r="W109" i="31"/>
  <c r="S109" i="31"/>
  <c r="O109" i="31"/>
  <c r="K109" i="31"/>
  <c r="E109" i="31"/>
  <c r="G108" i="31"/>
  <c r="E108" i="31"/>
  <c r="K107" i="31"/>
  <c r="G107" i="31" s="1"/>
  <c r="E107" i="31"/>
  <c r="K106" i="31"/>
  <c r="G106" i="31" s="1"/>
  <c r="E106" i="31"/>
  <c r="AA105" i="31"/>
  <c r="W105" i="31"/>
  <c r="S105" i="31"/>
  <c r="O105" i="31"/>
  <c r="K105" i="31"/>
  <c r="E105" i="31"/>
  <c r="AA104" i="31"/>
  <c r="W104" i="31"/>
  <c r="S104" i="31"/>
  <c r="O104" i="31"/>
  <c r="K104" i="31"/>
  <c r="E104" i="31"/>
  <c r="AA103" i="31"/>
  <c r="W103" i="31"/>
  <c r="S103" i="31"/>
  <c r="O103" i="31"/>
  <c r="K103" i="31"/>
  <c r="E103" i="31"/>
  <c r="AA102" i="31"/>
  <c r="W102" i="31"/>
  <c r="S102" i="31"/>
  <c r="O102" i="31"/>
  <c r="K102" i="31"/>
  <c r="E102" i="31"/>
  <c r="AA101" i="31"/>
  <c r="W101" i="31"/>
  <c r="S101" i="31"/>
  <c r="O101" i="31"/>
  <c r="K101" i="31"/>
  <c r="E101" i="31"/>
  <c r="AA98" i="31"/>
  <c r="W98" i="31"/>
  <c r="S98" i="31"/>
  <c r="O98" i="31"/>
  <c r="K98" i="31"/>
  <c r="AA97" i="31"/>
  <c r="W97" i="31"/>
  <c r="S97" i="31"/>
  <c r="O97" i="31"/>
  <c r="K97" i="31"/>
  <c r="E97" i="31"/>
  <c r="AA96" i="31"/>
  <c r="W96" i="31"/>
  <c r="S96" i="31"/>
  <c r="O96" i="31"/>
  <c r="K96" i="31"/>
  <c r="E96" i="31"/>
  <c r="AA95" i="31"/>
  <c r="W95" i="31"/>
  <c r="S95" i="31"/>
  <c r="O95" i="31"/>
  <c r="K95" i="31"/>
  <c r="E95" i="31"/>
  <c r="AA94" i="31"/>
  <c r="W94" i="31"/>
  <c r="S94" i="31"/>
  <c r="O94" i="31"/>
  <c r="K94" i="31"/>
  <c r="E94" i="31"/>
  <c r="AA93" i="31"/>
  <c r="W93" i="31"/>
  <c r="S93" i="31"/>
  <c r="O93" i="31"/>
  <c r="K93" i="31"/>
  <c r="E93" i="31"/>
  <c r="AA92" i="31"/>
  <c r="W92" i="31"/>
  <c r="S92" i="31"/>
  <c r="O92" i="31"/>
  <c r="K92" i="31"/>
  <c r="E92" i="31"/>
  <c r="O89" i="31"/>
  <c r="G89" i="31" s="1"/>
  <c r="AA88" i="31"/>
  <c r="W88" i="31"/>
  <c r="S88" i="31"/>
  <c r="O88" i="31"/>
  <c r="K88" i="31"/>
  <c r="AA87" i="31"/>
  <c r="W87" i="31"/>
  <c r="S87" i="31"/>
  <c r="O87" i="31"/>
  <c r="K87" i="31"/>
  <c r="E87" i="31"/>
  <c r="AA86" i="31"/>
  <c r="W86" i="31"/>
  <c r="S86" i="31"/>
  <c r="O86" i="31"/>
  <c r="K86" i="31"/>
  <c r="E86" i="31"/>
  <c r="AA85" i="31"/>
  <c r="W85" i="31"/>
  <c r="S85" i="31"/>
  <c r="O85" i="31"/>
  <c r="K85" i="31"/>
  <c r="E85" i="31"/>
  <c r="AA84" i="31"/>
  <c r="W84" i="31"/>
  <c r="S84" i="31"/>
  <c r="O84" i="31"/>
  <c r="K84" i="31"/>
  <c r="E84" i="31"/>
  <c r="AA81" i="31"/>
  <c r="W81" i="31"/>
  <c r="S81" i="31"/>
  <c r="O81" i="31"/>
  <c r="K81" i="31"/>
  <c r="E81" i="31"/>
  <c r="AA80" i="31"/>
  <c r="W80" i="31"/>
  <c r="S80" i="31"/>
  <c r="O80" i="31"/>
  <c r="K80" i="31"/>
  <c r="E80" i="31"/>
  <c r="AA79" i="31"/>
  <c r="W79" i="31"/>
  <c r="S79" i="31"/>
  <c r="O79" i="31"/>
  <c r="K79" i="31"/>
  <c r="E79" i="31"/>
  <c r="AA78" i="31"/>
  <c r="W78" i="31"/>
  <c r="S78" i="31"/>
  <c r="O78" i="31"/>
  <c r="K78" i="31"/>
  <c r="E78" i="31"/>
  <c r="AA77" i="31"/>
  <c r="W77" i="31"/>
  <c r="S77" i="31"/>
  <c r="O77" i="31"/>
  <c r="K77" i="31"/>
  <c r="E77" i="31"/>
  <c r="AA76" i="31"/>
  <c r="W76" i="31"/>
  <c r="S76" i="31"/>
  <c r="O76" i="31"/>
  <c r="K76" i="31"/>
  <c r="E76" i="31"/>
  <c r="AA73" i="31"/>
  <c r="W73" i="31"/>
  <c r="S73" i="31"/>
  <c r="O73" i="31"/>
  <c r="K73" i="31"/>
  <c r="E73" i="31"/>
  <c r="AA72" i="31"/>
  <c r="W72" i="31"/>
  <c r="S72" i="31"/>
  <c r="O72" i="31"/>
  <c r="K72" i="31"/>
  <c r="E72" i="31"/>
  <c r="AA71" i="31"/>
  <c r="W71" i="31"/>
  <c r="S71" i="31"/>
  <c r="O71" i="31"/>
  <c r="K71" i="31"/>
  <c r="E71" i="31"/>
  <c r="AA70" i="31"/>
  <c r="W70" i="31"/>
  <c r="S70" i="31"/>
  <c r="O70" i="31"/>
  <c r="K70" i="31"/>
  <c r="E70" i="31"/>
  <c r="AA67" i="31"/>
  <c r="W67" i="31"/>
  <c r="S67" i="31"/>
  <c r="O67" i="31"/>
  <c r="K67" i="31"/>
  <c r="E67" i="31"/>
  <c r="AA61" i="31"/>
  <c r="W61" i="31"/>
  <c r="S61" i="31"/>
  <c r="O61" i="31"/>
  <c r="K61" i="31"/>
  <c r="E61" i="31"/>
  <c r="AA58" i="31"/>
  <c r="W58" i="31"/>
  <c r="S58" i="31"/>
  <c r="O58" i="31"/>
  <c r="K58" i="31"/>
  <c r="E58" i="31"/>
  <c r="AA57" i="31"/>
  <c r="W57" i="31"/>
  <c r="S57" i="31"/>
  <c r="O57" i="31"/>
  <c r="K57" i="31"/>
  <c r="E57" i="31"/>
  <c r="AA54" i="31"/>
  <c r="W54" i="31"/>
  <c r="S54" i="31"/>
  <c r="O54" i="31"/>
  <c r="K54" i="31"/>
  <c r="E54" i="31"/>
  <c r="AA53" i="31"/>
  <c r="W53" i="31"/>
  <c r="S53" i="31"/>
  <c r="O53" i="31"/>
  <c r="K53" i="31"/>
  <c r="E53" i="31"/>
  <c r="AA52" i="31"/>
  <c r="W52" i="31"/>
  <c r="S52" i="31"/>
  <c r="O52" i="31"/>
  <c r="K52" i="31"/>
  <c r="E52" i="31"/>
  <c r="AA49" i="31"/>
  <c r="W49" i="31"/>
  <c r="S49" i="31"/>
  <c r="O49" i="31"/>
  <c r="K49" i="31"/>
  <c r="E49" i="31"/>
  <c r="AA48" i="31"/>
  <c r="W48" i="31"/>
  <c r="S48" i="31"/>
  <c r="O48" i="31"/>
  <c r="K48" i="31"/>
  <c r="E48" i="31"/>
  <c r="AA47" i="31"/>
  <c r="W47" i="31"/>
  <c r="S47" i="31"/>
  <c r="O47" i="31"/>
  <c r="K47" i="31"/>
  <c r="E47" i="31"/>
  <c r="AA44" i="31"/>
  <c r="W44" i="31"/>
  <c r="S44" i="31"/>
  <c r="O44" i="31"/>
  <c r="K44" i="31"/>
  <c r="E44" i="31"/>
  <c r="AA43" i="31"/>
  <c r="W43" i="31"/>
  <c r="S43" i="31"/>
  <c r="O43" i="31"/>
  <c r="K43" i="31"/>
  <c r="E43" i="31"/>
  <c r="AA40" i="31"/>
  <c r="W40" i="31"/>
  <c r="S40" i="31"/>
  <c r="O40" i="31"/>
  <c r="K40" i="31"/>
  <c r="E40" i="31"/>
  <c r="AA39" i="31"/>
  <c r="W39" i="31"/>
  <c r="S39" i="31"/>
  <c r="O39" i="31"/>
  <c r="K39" i="31"/>
  <c r="E39" i="31"/>
  <c r="AA35" i="31"/>
  <c r="W35" i="31"/>
  <c r="S35" i="31"/>
  <c r="O35" i="31"/>
  <c r="K35" i="31"/>
  <c r="E35" i="31"/>
  <c r="AA34" i="31"/>
  <c r="W34" i="31"/>
  <c r="S34" i="31"/>
  <c r="O34" i="31"/>
  <c r="K34" i="31"/>
  <c r="E34" i="31"/>
  <c r="AA33" i="31"/>
  <c r="W33" i="31"/>
  <c r="S33" i="31"/>
  <c r="O33" i="31"/>
  <c r="K33" i="31"/>
  <c r="E33" i="31"/>
  <c r="AA32" i="31"/>
  <c r="W32" i="31"/>
  <c r="S32" i="31"/>
  <c r="O32" i="31"/>
  <c r="K32" i="31"/>
  <c r="E32" i="31"/>
  <c r="AA31" i="31"/>
  <c r="W31" i="31"/>
  <c r="S31" i="31"/>
  <c r="O31" i="31"/>
  <c r="K31" i="31"/>
  <c r="E31" i="31"/>
  <c r="AA30" i="31"/>
  <c r="W30" i="31"/>
  <c r="S30" i="31"/>
  <c r="O30" i="31"/>
  <c r="K30" i="31"/>
  <c r="E30" i="31"/>
  <c r="AA29" i="31"/>
  <c r="W29" i="31"/>
  <c r="S29" i="31"/>
  <c r="O29" i="31"/>
  <c r="K29" i="31"/>
  <c r="E29" i="31"/>
  <c r="AA28" i="31"/>
  <c r="W28" i="31"/>
  <c r="S28" i="31"/>
  <c r="O28" i="31"/>
  <c r="K28" i="31"/>
  <c r="E28" i="31"/>
  <c r="AA27" i="31"/>
  <c r="W27" i="31"/>
  <c r="S27" i="31"/>
  <c r="O27" i="31"/>
  <c r="K27" i="31"/>
  <c r="E27" i="31"/>
  <c r="AA21" i="31"/>
  <c r="W21" i="31"/>
  <c r="S21" i="31"/>
  <c r="O21" i="31"/>
  <c r="K21" i="31"/>
  <c r="E21" i="31"/>
  <c r="AA20" i="31"/>
  <c r="W20" i="31"/>
  <c r="S20" i="31"/>
  <c r="O20" i="31"/>
  <c r="K20" i="31"/>
  <c r="E20" i="31"/>
  <c r="AA19" i="31"/>
  <c r="W19" i="31"/>
  <c r="S19" i="31"/>
  <c r="O19" i="31"/>
  <c r="K19" i="31"/>
  <c r="E19" i="31"/>
  <c r="AA18" i="31"/>
  <c r="W18" i="31"/>
  <c r="S18" i="31"/>
  <c r="O18" i="31"/>
  <c r="K18" i="31"/>
  <c r="AA17" i="31"/>
  <c r="W17" i="31"/>
  <c r="S17" i="31"/>
  <c r="O17" i="31"/>
  <c r="K17" i="31"/>
  <c r="E17" i="31"/>
  <c r="AA11" i="31"/>
  <c r="W11" i="31"/>
  <c r="S11" i="31"/>
  <c r="O11" i="31"/>
  <c r="K11" i="31"/>
  <c r="E11" i="31"/>
  <c r="AA10" i="31"/>
  <c r="W10" i="31"/>
  <c r="S10" i="31"/>
  <c r="O10" i="31"/>
  <c r="K10" i="31"/>
  <c r="E10" i="31"/>
  <c r="AA9" i="31"/>
  <c r="W9" i="31"/>
  <c r="S9" i="31"/>
  <c r="O9" i="31"/>
  <c r="K9" i="31"/>
  <c r="E9" i="31"/>
  <c r="AA8" i="31"/>
  <c r="W8" i="31"/>
  <c r="S8" i="31"/>
  <c r="O8" i="31"/>
  <c r="K8" i="31"/>
  <c r="E8" i="31"/>
  <c r="G326" i="31" l="1"/>
  <c r="K308" i="31"/>
  <c r="G323" i="31"/>
  <c r="G286" i="31"/>
  <c r="G306" i="31"/>
  <c r="G324" i="31"/>
  <c r="G327" i="31"/>
  <c r="G280" i="31"/>
  <c r="G284" i="31"/>
  <c r="G290" i="31"/>
  <c r="G304" i="31"/>
  <c r="G255" i="31"/>
  <c r="G258" i="31"/>
  <c r="G325" i="31"/>
  <c r="O235" i="31"/>
  <c r="O250" i="31"/>
  <c r="S235" i="31"/>
  <c r="G79" i="31"/>
  <c r="G175" i="31"/>
  <c r="G181" i="31"/>
  <c r="G193" i="31"/>
  <c r="G241" i="31"/>
  <c r="G153" i="31"/>
  <c r="G322" i="31"/>
  <c r="G245" i="31"/>
  <c r="G123" i="31"/>
  <c r="AA13" i="31"/>
  <c r="G124" i="31"/>
  <c r="G224" i="31"/>
  <c r="G44" i="31"/>
  <c r="G58" i="31"/>
  <c r="G73" i="31"/>
  <c r="G77" i="31"/>
  <c r="G149" i="31"/>
  <c r="G92" i="31"/>
  <c r="G94" i="31"/>
  <c r="G96" i="31"/>
  <c r="G191" i="31"/>
  <c r="G265" i="31"/>
  <c r="G275" i="31"/>
  <c r="G279" i="31"/>
  <c r="G11" i="31"/>
  <c r="G98" i="31"/>
  <c r="G223" i="31"/>
  <c r="G221" i="31"/>
  <c r="S250" i="31"/>
  <c r="G204" i="31"/>
  <c r="W235" i="31"/>
  <c r="W250" i="31"/>
  <c r="AA235" i="31"/>
  <c r="G125" i="31"/>
  <c r="G156" i="31"/>
  <c r="G160" i="31"/>
  <c r="G173" i="31"/>
  <c r="G213" i="31"/>
  <c r="G30" i="31"/>
  <c r="G115" i="31"/>
  <c r="G119" i="31"/>
  <c r="O183" i="31"/>
  <c r="G179" i="31"/>
  <c r="E195" i="31"/>
  <c r="G211" i="31"/>
  <c r="G226" i="31"/>
  <c r="G233" i="31"/>
  <c r="G97" i="31"/>
  <c r="G138" i="31"/>
  <c r="G146" i="31"/>
  <c r="S183" i="31"/>
  <c r="G207" i="31"/>
  <c r="G49" i="31"/>
  <c r="G78" i="31"/>
  <c r="G20" i="31"/>
  <c r="G27" i="31"/>
  <c r="G61" i="31"/>
  <c r="G287" i="31"/>
  <c r="G144" i="31"/>
  <c r="AA228" i="31"/>
  <c r="G35" i="31"/>
  <c r="O130" i="31"/>
  <c r="G81" i="31"/>
  <c r="G289" i="31"/>
  <c r="G157" i="31"/>
  <c r="G159" i="31"/>
  <c r="G163" i="31"/>
  <c r="G170" i="31"/>
  <c r="G174" i="31"/>
  <c r="E261" i="31"/>
  <c r="G28" i="31"/>
  <c r="G137" i="31"/>
  <c r="G143" i="31"/>
  <c r="G176" i="31"/>
  <c r="G178" i="31"/>
  <c r="G19" i="31"/>
  <c r="G32" i="31"/>
  <c r="G34" i="31"/>
  <c r="G47" i="31"/>
  <c r="G127" i="31"/>
  <c r="G151" i="31"/>
  <c r="G196" i="31"/>
  <c r="G212" i="31"/>
  <c r="G248" i="31"/>
  <c r="I264" i="31"/>
  <c r="K264" i="31" s="1"/>
  <c r="O23" i="31"/>
  <c r="G39" i="31"/>
  <c r="G53" i="31"/>
  <c r="G57" i="31"/>
  <c r="G88" i="31"/>
  <c r="G116" i="31"/>
  <c r="G206" i="31"/>
  <c r="G246" i="31"/>
  <c r="G10" i="31"/>
  <c r="S23" i="31"/>
  <c r="G84" i="31"/>
  <c r="G101" i="31"/>
  <c r="G103" i="31"/>
  <c r="G105" i="31"/>
  <c r="G109" i="31"/>
  <c r="G111" i="31"/>
  <c r="S228" i="31"/>
  <c r="W13" i="31"/>
  <c r="G48" i="31"/>
  <c r="K130" i="31"/>
  <c r="G71" i="31"/>
  <c r="K183" i="31"/>
  <c r="G171" i="31"/>
  <c r="O215" i="31"/>
  <c r="G194" i="31"/>
  <c r="G222" i="31"/>
  <c r="K250" i="31"/>
  <c r="G257" i="31"/>
  <c r="M266" i="31"/>
  <c r="O292" i="31"/>
  <c r="AA23" i="31"/>
  <c r="W130" i="31"/>
  <c r="G85" i="31"/>
  <c r="G87" i="31"/>
  <c r="G117" i="31"/>
  <c r="O165" i="31"/>
  <c r="G145" i="31"/>
  <c r="G155" i="31"/>
  <c r="W183" i="31"/>
  <c r="G177" i="31"/>
  <c r="S130" i="31"/>
  <c r="AA183" i="31"/>
  <c r="K165" i="31"/>
  <c r="G9" i="31"/>
  <c r="G43" i="31"/>
  <c r="W165" i="31"/>
  <c r="K292" i="31"/>
  <c r="G18" i="31"/>
  <c r="G70" i="31"/>
  <c r="G72" i="31"/>
  <c r="AA165" i="31"/>
  <c r="G139" i="31"/>
  <c r="G172" i="31"/>
  <c r="K228" i="31"/>
  <c r="O308" i="31"/>
  <c r="K63" i="31"/>
  <c r="G102" i="31"/>
  <c r="G104" i="31"/>
  <c r="G128" i="31"/>
  <c r="G197" i="31"/>
  <c r="O228" i="31"/>
  <c r="G242" i="31"/>
  <c r="G247" i="31"/>
  <c r="S292" i="31"/>
  <c r="G281" i="31"/>
  <c r="G285" i="31"/>
  <c r="G288" i="31"/>
  <c r="S308" i="31"/>
  <c r="W23" i="31"/>
  <c r="O63" i="31"/>
  <c r="G31" i="31"/>
  <c r="G33" i="31"/>
  <c r="G80" i="31"/>
  <c r="G110" i="31"/>
  <c r="G114" i="31"/>
  <c r="G140" i="31"/>
  <c r="AA215" i="31"/>
  <c r="G195" i="31"/>
  <c r="G203" i="31"/>
  <c r="G210" i="31"/>
  <c r="G225" i="31"/>
  <c r="G263" i="31"/>
  <c r="W292" i="31"/>
  <c r="W308" i="31"/>
  <c r="K13" i="31"/>
  <c r="S63" i="31"/>
  <c r="G29" i="31"/>
  <c r="G40" i="31"/>
  <c r="G86" i="31"/>
  <c r="G118" i="31"/>
  <c r="G126" i="31"/>
  <c r="G154" i="31"/>
  <c r="G205" i="31"/>
  <c r="AA292" i="31"/>
  <c r="AA308" i="31"/>
  <c r="U264" i="31"/>
  <c r="W264" i="31" s="1"/>
  <c r="O13" i="31"/>
  <c r="G17" i="31"/>
  <c r="W63" i="31"/>
  <c r="G122" i="31"/>
  <c r="G158" i="31"/>
  <c r="G180" i="31"/>
  <c r="E188" i="31"/>
  <c r="G190" i="31"/>
  <c r="G232" i="31"/>
  <c r="G240" i="31"/>
  <c r="S13" i="31"/>
  <c r="K23" i="31"/>
  <c r="G21" i="31"/>
  <c r="AA63" i="31"/>
  <c r="G52" i="31"/>
  <c r="G54" i="31"/>
  <c r="AA130" i="31"/>
  <c r="G93" i="31"/>
  <c r="G95" i="31"/>
  <c r="G150" i="31"/>
  <c r="G152" i="31"/>
  <c r="G169" i="31"/>
  <c r="K215" i="31"/>
  <c r="G192" i="31"/>
  <c r="W228" i="31"/>
  <c r="G239" i="31"/>
  <c r="G274" i="31"/>
  <c r="G278" i="31"/>
  <c r="G296" i="31"/>
  <c r="G305" i="31"/>
  <c r="S215" i="31"/>
  <c r="G188" i="31"/>
  <c r="S136" i="31"/>
  <c r="G136" i="31" s="1"/>
  <c r="AA250" i="31"/>
  <c r="G8" i="31"/>
  <c r="G135" i="31"/>
  <c r="W189" i="31"/>
  <c r="W215" i="31" s="1"/>
  <c r="AA261" i="31"/>
  <c r="G261" i="31" s="1"/>
  <c r="Y264" i="31"/>
  <c r="AA264" i="31" s="1"/>
  <c r="G273" i="31"/>
  <c r="S260" i="31"/>
  <c r="S268" i="31" s="1"/>
  <c r="W259" i="31"/>
  <c r="K262" i="31"/>
  <c r="G262" i="31" s="1"/>
  <c r="K235" i="31"/>
  <c r="S300" i="31"/>
  <c r="G300" i="31" s="1"/>
  <c r="G76" i="31"/>
  <c r="E260" i="31"/>
  <c r="G67" i="31"/>
  <c r="G260" i="31" l="1"/>
  <c r="G292" i="31"/>
  <c r="G228" i="31"/>
  <c r="G23" i="31"/>
  <c r="G235" i="31"/>
  <c r="K268" i="31"/>
  <c r="K313" i="31" s="1"/>
  <c r="G63" i="31"/>
  <c r="G13" i="31"/>
  <c r="G215" i="31"/>
  <c r="AA268" i="31"/>
  <c r="G308" i="31"/>
  <c r="O266" i="31"/>
  <c r="E266" i="31"/>
  <c r="G250" i="31"/>
  <c r="G189" i="31"/>
  <c r="G183" i="31"/>
  <c r="G130" i="31"/>
  <c r="G259" i="31"/>
  <c r="W268" i="31"/>
  <c r="S165" i="31"/>
  <c r="G165" i="31" s="1"/>
  <c r="E264" i="31"/>
  <c r="G264" i="31"/>
  <c r="S313" i="31" l="1"/>
  <c r="S314" i="31" s="1"/>
  <c r="S315" i="31" s="1"/>
  <c r="W313" i="31"/>
  <c r="W314" i="31" s="1"/>
  <c r="W315" i="31" s="1"/>
  <c r="AA313" i="31"/>
  <c r="AA314" i="31" s="1"/>
  <c r="AA315" i="31" s="1"/>
  <c r="G266" i="31"/>
  <c r="O268" i="31"/>
  <c r="O313" i="31" s="1"/>
  <c r="K314" i="31"/>
  <c r="K315" i="31" s="1"/>
  <c r="G268" i="31" l="1"/>
  <c r="O314" i="31"/>
  <c r="O315" i="31" s="1"/>
  <c r="G313" i="31" l="1"/>
  <c r="G314" i="31" s="1"/>
  <c r="G315" i="31" s="1"/>
  <c r="Z56" i="21" l="1"/>
  <c r="AA56" i="21" s="1"/>
  <c r="V56" i="21"/>
  <c r="W56" i="21" s="1"/>
  <c r="R56" i="21"/>
  <c r="S56" i="21" s="1"/>
  <c r="N56" i="21"/>
  <c r="O56" i="21" s="1"/>
  <c r="J56" i="21"/>
  <c r="K56" i="21" s="1"/>
  <c r="E56" i="21"/>
  <c r="Z55" i="21"/>
  <c r="AA55" i="21" s="1"/>
  <c r="V55" i="21"/>
  <c r="W55" i="21" s="1"/>
  <c r="R55" i="21"/>
  <c r="S55" i="21" s="1"/>
  <c r="N55" i="21"/>
  <c r="O55" i="21" s="1"/>
  <c r="J55" i="21"/>
  <c r="K55" i="21" s="1"/>
  <c r="E55" i="21"/>
  <c r="Z54" i="21"/>
  <c r="AA54" i="21" s="1"/>
  <c r="V54" i="21"/>
  <c r="W54" i="21" s="1"/>
  <c r="R54" i="21"/>
  <c r="S54" i="21" s="1"/>
  <c r="N54" i="21"/>
  <c r="O54" i="21" s="1"/>
  <c r="J54" i="21"/>
  <c r="K54" i="21" s="1"/>
  <c r="E54" i="21"/>
  <c r="Z53" i="21"/>
  <c r="AA53" i="21" s="1"/>
  <c r="V53" i="21"/>
  <c r="W53" i="21" s="1"/>
  <c r="R53" i="21"/>
  <c r="S53" i="21" s="1"/>
  <c r="N53" i="21"/>
  <c r="O53" i="21" s="1"/>
  <c r="J53" i="21"/>
  <c r="K53" i="21" s="1"/>
  <c r="E53" i="21"/>
  <c r="Z51" i="21"/>
  <c r="AA51" i="21" s="1"/>
  <c r="V51" i="21"/>
  <c r="W51" i="21" s="1"/>
  <c r="R51" i="21"/>
  <c r="S51" i="21" s="1"/>
  <c r="N51" i="21"/>
  <c r="O51" i="21" s="1"/>
  <c r="J51" i="21"/>
  <c r="K51" i="21" s="1"/>
  <c r="E51" i="21"/>
  <c r="Z50" i="21"/>
  <c r="AA50" i="21" s="1"/>
  <c r="V50" i="21"/>
  <c r="W50" i="21" s="1"/>
  <c r="R50" i="21"/>
  <c r="S50" i="21" s="1"/>
  <c r="N50" i="21"/>
  <c r="O50" i="21" s="1"/>
  <c r="J50" i="21"/>
  <c r="K50" i="21" s="1"/>
  <c r="E50" i="21"/>
  <c r="Z49" i="21"/>
  <c r="AA49" i="21" s="1"/>
  <c r="V49" i="21"/>
  <c r="W49" i="21" s="1"/>
  <c r="R49" i="21"/>
  <c r="S49" i="21" s="1"/>
  <c r="N49" i="21"/>
  <c r="O49" i="21" s="1"/>
  <c r="J49" i="21"/>
  <c r="K49" i="21" s="1"/>
  <c r="E49" i="21"/>
  <c r="Z48" i="21"/>
  <c r="AA48" i="21" s="1"/>
  <c r="V48" i="21"/>
  <c r="W48" i="21" s="1"/>
  <c r="R48" i="21"/>
  <c r="S48" i="21" s="1"/>
  <c r="N48" i="21"/>
  <c r="O48" i="21" s="1"/>
  <c r="J48" i="21"/>
  <c r="K48" i="21" s="1"/>
  <c r="E48" i="21"/>
  <c r="Z47" i="21"/>
  <c r="AA47" i="21" s="1"/>
  <c r="V47" i="21"/>
  <c r="W47" i="21" s="1"/>
  <c r="R47" i="21"/>
  <c r="S47" i="21" s="1"/>
  <c r="N47" i="21"/>
  <c r="O47" i="21" s="1"/>
  <c r="J47" i="21"/>
  <c r="K47" i="21" s="1"/>
  <c r="E47" i="21"/>
  <c r="Z46" i="21"/>
  <c r="AA46" i="21" s="1"/>
  <c r="V46" i="21"/>
  <c r="W46" i="21" s="1"/>
  <c r="R46" i="21"/>
  <c r="S46" i="21" s="1"/>
  <c r="N46" i="21"/>
  <c r="O46" i="21" s="1"/>
  <c r="J46" i="21"/>
  <c r="K46" i="21" s="1"/>
  <c r="E46" i="21"/>
  <c r="Z45" i="21"/>
  <c r="AA45" i="21" s="1"/>
  <c r="V45" i="21"/>
  <c r="W45" i="21" s="1"/>
  <c r="R45" i="21"/>
  <c r="S45" i="21" s="1"/>
  <c r="N45" i="21"/>
  <c r="O45" i="21" s="1"/>
  <c r="J45" i="21"/>
  <c r="K45" i="21" s="1"/>
  <c r="E45" i="21"/>
  <c r="Z44" i="21"/>
  <c r="AA44" i="21" s="1"/>
  <c r="V44" i="21"/>
  <c r="W44" i="21" s="1"/>
  <c r="R44" i="21"/>
  <c r="S44" i="21" s="1"/>
  <c r="N44" i="21"/>
  <c r="O44" i="21" s="1"/>
  <c r="J44" i="21"/>
  <c r="K44" i="21" s="1"/>
  <c r="E44" i="21"/>
  <c r="Z43" i="21"/>
  <c r="AA43" i="21" s="1"/>
  <c r="V43" i="21"/>
  <c r="W43" i="21" s="1"/>
  <c r="R43" i="21"/>
  <c r="S43" i="21" s="1"/>
  <c r="N43" i="21"/>
  <c r="O43" i="21" s="1"/>
  <c r="J43" i="21"/>
  <c r="K43" i="21" s="1"/>
  <c r="E43" i="21"/>
  <c r="Z42" i="21"/>
  <c r="AA42" i="21" s="1"/>
  <c r="V42" i="21"/>
  <c r="W42" i="21" s="1"/>
  <c r="R42" i="21"/>
  <c r="S42" i="21" s="1"/>
  <c r="N42" i="21"/>
  <c r="O42" i="21" s="1"/>
  <c r="J42" i="21"/>
  <c r="K42" i="21" s="1"/>
  <c r="E42" i="21"/>
  <c r="Z41" i="21"/>
  <c r="AA41" i="21" s="1"/>
  <c r="V41" i="21"/>
  <c r="W41" i="21" s="1"/>
  <c r="R41" i="21"/>
  <c r="S41" i="21" s="1"/>
  <c r="N41" i="21"/>
  <c r="O41" i="21" s="1"/>
  <c r="J41" i="21"/>
  <c r="K41" i="21" s="1"/>
  <c r="E41" i="21"/>
  <c r="Z40" i="21"/>
  <c r="AA40" i="21" s="1"/>
  <c r="V40" i="21"/>
  <c r="W40" i="21" s="1"/>
  <c r="R40" i="21"/>
  <c r="S40" i="21" s="1"/>
  <c r="N40" i="21"/>
  <c r="O40" i="21" s="1"/>
  <c r="J40" i="21"/>
  <c r="K40" i="21" s="1"/>
  <c r="E40" i="21"/>
  <c r="Z39" i="21"/>
  <c r="AA39" i="21" s="1"/>
  <c r="V39" i="21"/>
  <c r="W39" i="21" s="1"/>
  <c r="R39" i="21"/>
  <c r="S39" i="21" s="1"/>
  <c r="N39" i="21"/>
  <c r="O39" i="21" s="1"/>
  <c r="J39" i="21"/>
  <c r="K39" i="21" s="1"/>
  <c r="Z38" i="21"/>
  <c r="AA38" i="21" s="1"/>
  <c r="V38" i="21"/>
  <c r="W38" i="21" s="1"/>
  <c r="R38" i="21"/>
  <c r="S38" i="21" s="1"/>
  <c r="N38" i="21"/>
  <c r="O38" i="21" s="1"/>
  <c r="J38" i="21"/>
  <c r="K38" i="21" s="1"/>
  <c r="E38" i="21"/>
  <c r="Z37" i="21"/>
  <c r="AA37" i="21" s="1"/>
  <c r="V37" i="21"/>
  <c r="W37" i="21" s="1"/>
  <c r="R37" i="21"/>
  <c r="S37" i="21" s="1"/>
  <c r="N37" i="21"/>
  <c r="O37" i="21" s="1"/>
  <c r="J37" i="21"/>
  <c r="K37" i="21" s="1"/>
  <c r="Z36" i="21"/>
  <c r="AA36" i="21" s="1"/>
  <c r="V36" i="21"/>
  <c r="W36" i="21" s="1"/>
  <c r="R36" i="21"/>
  <c r="S36" i="21" s="1"/>
  <c r="N36" i="21"/>
  <c r="O36" i="21" s="1"/>
  <c r="J36" i="21"/>
  <c r="K36" i="21" s="1"/>
  <c r="Z35" i="21"/>
  <c r="AA35" i="21" s="1"/>
  <c r="V35" i="21"/>
  <c r="W35" i="21" s="1"/>
  <c r="R35" i="21"/>
  <c r="S35" i="21" s="1"/>
  <c r="N35" i="21"/>
  <c r="O35" i="21" s="1"/>
  <c r="J35" i="21"/>
  <c r="K35" i="21" s="1"/>
  <c r="E35" i="21"/>
  <c r="Z34" i="21"/>
  <c r="AA34" i="21" s="1"/>
  <c r="V34" i="21"/>
  <c r="W34" i="21" s="1"/>
  <c r="R34" i="21"/>
  <c r="S34" i="21" s="1"/>
  <c r="N34" i="21"/>
  <c r="O34" i="21" s="1"/>
  <c r="J34" i="21"/>
  <c r="K34" i="21" s="1"/>
  <c r="E34" i="21"/>
  <c r="Z33" i="21"/>
  <c r="AA33" i="21" s="1"/>
  <c r="V33" i="21"/>
  <c r="W33" i="21" s="1"/>
  <c r="R33" i="21"/>
  <c r="S33" i="21" s="1"/>
  <c r="N33" i="21"/>
  <c r="O33" i="21" s="1"/>
  <c r="J33" i="21"/>
  <c r="K33" i="21" s="1"/>
  <c r="E33" i="21"/>
  <c r="Z32" i="21"/>
  <c r="AA32" i="21" s="1"/>
  <c r="V32" i="21"/>
  <c r="W32" i="21" s="1"/>
  <c r="R32" i="21"/>
  <c r="S32" i="21" s="1"/>
  <c r="N32" i="21"/>
  <c r="O32" i="21" s="1"/>
  <c r="J32" i="21"/>
  <c r="K32" i="21" s="1"/>
  <c r="E32" i="21"/>
  <c r="Z31" i="21"/>
  <c r="AA31" i="21" s="1"/>
  <c r="V31" i="21"/>
  <c r="W31" i="21" s="1"/>
  <c r="R31" i="21"/>
  <c r="S31" i="21" s="1"/>
  <c r="N31" i="21"/>
  <c r="O31" i="21" s="1"/>
  <c r="J31" i="21"/>
  <c r="K31" i="21" s="1"/>
  <c r="E31" i="21"/>
  <c r="Z30" i="21"/>
  <c r="AA30" i="21" s="1"/>
  <c r="V30" i="21"/>
  <c r="W30" i="21" s="1"/>
  <c r="R30" i="21"/>
  <c r="S30" i="21" s="1"/>
  <c r="N30" i="21"/>
  <c r="O30" i="21" s="1"/>
  <c r="J30" i="21"/>
  <c r="K30" i="21" s="1"/>
  <c r="E30" i="21"/>
  <c r="Z29" i="21"/>
  <c r="AA29" i="21" s="1"/>
  <c r="V29" i="21"/>
  <c r="W29" i="21" s="1"/>
  <c r="R29" i="21"/>
  <c r="S29" i="21" s="1"/>
  <c r="N29" i="21"/>
  <c r="O29" i="21" s="1"/>
  <c r="J29" i="21"/>
  <c r="K29" i="21" s="1"/>
  <c r="Z28" i="21"/>
  <c r="AA28" i="21" s="1"/>
  <c r="V28" i="21"/>
  <c r="W28" i="21" s="1"/>
  <c r="R28" i="21"/>
  <c r="S28" i="21" s="1"/>
  <c r="N28" i="21"/>
  <c r="O28" i="21" s="1"/>
  <c r="J28" i="21"/>
  <c r="K28" i="21" s="1"/>
  <c r="E28" i="21"/>
  <c r="Z27" i="21"/>
  <c r="AA27" i="21" s="1"/>
  <c r="V27" i="21"/>
  <c r="W27" i="21" s="1"/>
  <c r="R27" i="21"/>
  <c r="S27" i="21" s="1"/>
  <c r="N27" i="21"/>
  <c r="O27" i="21" s="1"/>
  <c r="J27" i="21"/>
  <c r="K27" i="21" s="1"/>
  <c r="E27" i="21"/>
  <c r="Z26" i="21"/>
  <c r="AA26" i="21" s="1"/>
  <c r="V26" i="21"/>
  <c r="W26" i="21" s="1"/>
  <c r="R26" i="21"/>
  <c r="S26" i="21" s="1"/>
  <c r="N26" i="21"/>
  <c r="O26" i="21" s="1"/>
  <c r="J26" i="21"/>
  <c r="K26" i="21" s="1"/>
  <c r="E26" i="21"/>
  <c r="Z25" i="21"/>
  <c r="AA25" i="21" s="1"/>
  <c r="V25" i="21"/>
  <c r="W25" i="21" s="1"/>
  <c r="R25" i="21"/>
  <c r="S25" i="21" s="1"/>
  <c r="N25" i="21"/>
  <c r="O25" i="21" s="1"/>
  <c r="J25" i="21"/>
  <c r="K25" i="21" s="1"/>
  <c r="E25" i="21"/>
  <c r="Z24" i="21"/>
  <c r="AA24" i="21" s="1"/>
  <c r="V24" i="21"/>
  <c r="W24" i="21" s="1"/>
  <c r="R24" i="21"/>
  <c r="S24" i="21" s="1"/>
  <c r="N24" i="21"/>
  <c r="O24" i="21" s="1"/>
  <c r="J24" i="21"/>
  <c r="K24" i="21" s="1"/>
  <c r="E24" i="21"/>
  <c r="Z23" i="21"/>
  <c r="AA23" i="21" s="1"/>
  <c r="V23" i="21"/>
  <c r="W23" i="21" s="1"/>
  <c r="R23" i="21"/>
  <c r="S23" i="21" s="1"/>
  <c r="N23" i="21"/>
  <c r="O23" i="21" s="1"/>
  <c r="J23" i="21"/>
  <c r="K23" i="21" s="1"/>
  <c r="Z22" i="21"/>
  <c r="AA22" i="21" s="1"/>
  <c r="V22" i="21"/>
  <c r="W22" i="21" s="1"/>
  <c r="R22" i="21"/>
  <c r="S22" i="21" s="1"/>
  <c r="N22" i="21"/>
  <c r="O22" i="21" s="1"/>
  <c r="J22" i="21"/>
  <c r="K22" i="21" s="1"/>
  <c r="Z21" i="21"/>
  <c r="AA21" i="21" s="1"/>
  <c r="V21" i="21"/>
  <c r="W21" i="21" s="1"/>
  <c r="R21" i="21"/>
  <c r="S21" i="21" s="1"/>
  <c r="N21" i="21"/>
  <c r="O21" i="21" s="1"/>
  <c r="J21" i="21"/>
  <c r="K21" i="21" s="1"/>
  <c r="Z20" i="21"/>
  <c r="AA20" i="21" s="1"/>
  <c r="V20" i="21"/>
  <c r="W20" i="21" s="1"/>
  <c r="R20" i="21"/>
  <c r="S20" i="21" s="1"/>
  <c r="N20" i="21"/>
  <c r="O20" i="21" s="1"/>
  <c r="J20" i="21"/>
  <c r="K20" i="21" s="1"/>
  <c r="Z19" i="21"/>
  <c r="AA19" i="21" s="1"/>
  <c r="V19" i="21"/>
  <c r="W19" i="21" s="1"/>
  <c r="R19" i="21"/>
  <c r="S19" i="21" s="1"/>
  <c r="N19" i="21"/>
  <c r="O19" i="21" s="1"/>
  <c r="J19" i="21"/>
  <c r="K19" i="21" s="1"/>
  <c r="Z18" i="21"/>
  <c r="AA18" i="21" s="1"/>
  <c r="V18" i="21"/>
  <c r="W18" i="21" s="1"/>
  <c r="R18" i="21"/>
  <c r="S18" i="21" s="1"/>
  <c r="N18" i="21"/>
  <c r="O18" i="21" s="1"/>
  <c r="J18" i="21"/>
  <c r="K18" i="21" s="1"/>
  <c r="Z17" i="21"/>
  <c r="AA17" i="21" s="1"/>
  <c r="V17" i="21"/>
  <c r="W17" i="21" s="1"/>
  <c r="R17" i="21"/>
  <c r="S17" i="21" s="1"/>
  <c r="N17" i="21"/>
  <c r="O17" i="21" s="1"/>
  <c r="J17" i="21"/>
  <c r="K17" i="21" s="1"/>
  <c r="Z16" i="21"/>
  <c r="AA16" i="21" s="1"/>
  <c r="V16" i="21"/>
  <c r="W16" i="21" s="1"/>
  <c r="R16" i="21"/>
  <c r="S16" i="21" s="1"/>
  <c r="N16" i="21"/>
  <c r="O16" i="21" s="1"/>
  <c r="J16" i="21"/>
  <c r="K16" i="21" s="1"/>
  <c r="Z15" i="21"/>
  <c r="AA15" i="21" s="1"/>
  <c r="V15" i="21"/>
  <c r="W15" i="21" s="1"/>
  <c r="R15" i="21"/>
  <c r="S15" i="21" s="1"/>
  <c r="N15" i="21"/>
  <c r="O15" i="21" s="1"/>
  <c r="J15" i="21"/>
  <c r="K15" i="21" s="1"/>
  <c r="Z14" i="21"/>
  <c r="AA14" i="21" s="1"/>
  <c r="V14" i="21"/>
  <c r="W14" i="21" s="1"/>
  <c r="R14" i="21"/>
  <c r="S14" i="21" s="1"/>
  <c r="N14" i="21"/>
  <c r="O14" i="21" s="1"/>
  <c r="J14" i="21"/>
  <c r="K14" i="21" s="1"/>
  <c r="Z13" i="21"/>
  <c r="AA13" i="21" s="1"/>
  <c r="V13" i="21"/>
  <c r="W13" i="21" s="1"/>
  <c r="R13" i="21"/>
  <c r="S13" i="21" s="1"/>
  <c r="N13" i="21"/>
  <c r="O13" i="21" s="1"/>
  <c r="J13" i="21"/>
  <c r="K13" i="21" s="1"/>
  <c r="Z12" i="21"/>
  <c r="AA12" i="21" s="1"/>
  <c r="V12" i="21"/>
  <c r="W12" i="21" s="1"/>
  <c r="R12" i="21"/>
  <c r="S12" i="21" s="1"/>
  <c r="N12" i="21"/>
  <c r="O12" i="21" s="1"/>
  <c r="J12" i="21"/>
  <c r="K12" i="21" s="1"/>
  <c r="Z11" i="21"/>
  <c r="AA11" i="21" s="1"/>
  <c r="V11" i="21"/>
  <c r="W11" i="21" s="1"/>
  <c r="R11" i="21"/>
  <c r="S11" i="21" s="1"/>
  <c r="N11" i="21"/>
  <c r="O11" i="21" s="1"/>
  <c r="J11" i="21"/>
  <c r="K11" i="21" s="1"/>
  <c r="Z10" i="21"/>
  <c r="AA10" i="21" s="1"/>
  <c r="V10" i="21"/>
  <c r="W10" i="21" s="1"/>
  <c r="R10" i="21"/>
  <c r="S10" i="21" s="1"/>
  <c r="N10" i="21"/>
  <c r="O10" i="21" s="1"/>
  <c r="J10" i="21"/>
  <c r="K10" i="21" s="1"/>
  <c r="Z9" i="21"/>
  <c r="AA9" i="21" s="1"/>
  <c r="V9" i="21"/>
  <c r="W9" i="21" s="1"/>
  <c r="R9" i="21"/>
  <c r="S9" i="21" s="1"/>
  <c r="N9" i="21"/>
  <c r="O9" i="21" s="1"/>
  <c r="J9" i="21"/>
  <c r="K9" i="21" s="1"/>
  <c r="Z8" i="21"/>
  <c r="AA8" i="21" s="1"/>
  <c r="V8" i="21"/>
  <c r="W8" i="21" s="1"/>
  <c r="R8" i="21"/>
  <c r="S8" i="21" s="1"/>
  <c r="N8" i="21"/>
  <c r="O8" i="21" s="1"/>
  <c r="J8" i="21"/>
  <c r="K8" i="21" s="1"/>
  <c r="Z7" i="21"/>
  <c r="AA7" i="21" s="1"/>
  <c r="V7" i="21"/>
  <c r="W7" i="21" s="1"/>
  <c r="R7" i="21"/>
  <c r="S7" i="21" s="1"/>
  <c r="N7" i="21"/>
  <c r="O7" i="21" s="1"/>
  <c r="J7" i="21"/>
  <c r="K7" i="21" s="1"/>
  <c r="G17" i="21" l="1"/>
  <c r="G24" i="21"/>
  <c r="G23" i="21"/>
  <c r="G33" i="21"/>
  <c r="G21" i="21"/>
  <c r="G27" i="21"/>
  <c r="G15" i="21"/>
  <c r="G11" i="21"/>
  <c r="G13" i="21"/>
  <c r="G9" i="21"/>
  <c r="G26" i="21"/>
  <c r="G30" i="21"/>
  <c r="G25" i="21"/>
  <c r="G41" i="21"/>
  <c r="G44" i="21"/>
  <c r="G47" i="21"/>
  <c r="G50" i="21"/>
  <c r="G54" i="21"/>
  <c r="G36" i="21"/>
  <c r="G22" i="21"/>
  <c r="G38" i="21"/>
  <c r="G56" i="21"/>
  <c r="G8" i="21"/>
  <c r="G28" i="21"/>
  <c r="G18" i="21"/>
  <c r="G7" i="21"/>
  <c r="K58" i="21"/>
  <c r="S58" i="21"/>
  <c r="G19" i="21"/>
  <c r="G40" i="21"/>
  <c r="G46" i="21"/>
  <c r="G49" i="21"/>
  <c r="G53" i="21"/>
  <c r="O58" i="21"/>
  <c r="G37" i="21"/>
  <c r="AA58" i="21"/>
  <c r="G29" i="21"/>
  <c r="G10" i="21"/>
  <c r="W58" i="21"/>
  <c r="G43" i="21"/>
  <c r="G12" i="21"/>
  <c r="G14" i="21"/>
  <c r="G16" i="21"/>
  <c r="G32" i="21"/>
  <c r="G35" i="21"/>
  <c r="G20" i="21"/>
  <c r="G31" i="21"/>
  <c r="G34" i="21"/>
  <c r="G39" i="21"/>
  <c r="G42" i="21"/>
  <c r="G45" i="21"/>
  <c r="G48" i="21"/>
  <c r="G51" i="21"/>
  <c r="G55" i="21"/>
  <c r="G58" i="21" l="1"/>
  <c r="F61" i="21" s="1"/>
  <c r="G61" i="21" l="1"/>
  <c r="G66" i="21" s="1"/>
  <c r="J61" i="21" l="1"/>
  <c r="K61" i="21" s="1"/>
  <c r="K66" i="21" s="1"/>
  <c r="N61" i="21"/>
  <c r="O61" i="21" s="1"/>
  <c r="O66" i="21" s="1"/>
  <c r="R61" i="21"/>
  <c r="S61" i="21" s="1"/>
  <c r="S66" i="21" s="1"/>
  <c r="V61" i="21"/>
  <c r="W61" i="21" s="1"/>
  <c r="W66" i="21" s="1"/>
  <c r="Z61" i="21"/>
  <c r="AA61" i="21" s="1"/>
  <c r="AA66" i="21" s="1"/>
  <c r="Z38" i="22"/>
  <c r="AA38" i="22" s="1"/>
  <c r="V38" i="22"/>
  <c r="W38" i="22" s="1"/>
  <c r="R38" i="22"/>
  <c r="S38" i="22" s="1"/>
  <c r="N38" i="22"/>
  <c r="O38" i="22" s="1"/>
  <c r="J38" i="22"/>
  <c r="K38" i="22" s="1"/>
  <c r="G38" i="22"/>
  <c r="Z37" i="22"/>
  <c r="AA37" i="22" s="1"/>
  <c r="V37" i="22"/>
  <c r="W37" i="22" s="1"/>
  <c r="R37" i="22"/>
  <c r="S37" i="22" s="1"/>
  <c r="N37" i="22"/>
  <c r="O37" i="22" s="1"/>
  <c r="J37" i="22"/>
  <c r="K37" i="22" s="1"/>
  <c r="G37" i="22"/>
  <c r="Z36" i="22"/>
  <c r="AA36" i="22" s="1"/>
  <c r="V36" i="22"/>
  <c r="W36" i="22" s="1"/>
  <c r="R36" i="22"/>
  <c r="S36" i="22" s="1"/>
  <c r="N36" i="22"/>
  <c r="O36" i="22" s="1"/>
  <c r="J36" i="22"/>
  <c r="K36" i="22" s="1"/>
  <c r="G36" i="22"/>
  <c r="Z35" i="22"/>
  <c r="AA35" i="22" s="1"/>
  <c r="V35" i="22"/>
  <c r="W35" i="22" s="1"/>
  <c r="R35" i="22"/>
  <c r="S35" i="22" s="1"/>
  <c r="N35" i="22"/>
  <c r="O35" i="22" s="1"/>
  <c r="J35" i="22"/>
  <c r="K35" i="22" s="1"/>
  <c r="G35" i="22"/>
  <c r="Z34" i="22"/>
  <c r="AA34" i="22" s="1"/>
  <c r="V34" i="22"/>
  <c r="W34" i="22" s="1"/>
  <c r="R34" i="22"/>
  <c r="S34" i="22" s="1"/>
  <c r="N34" i="22"/>
  <c r="O34" i="22" s="1"/>
  <c r="J34" i="22"/>
  <c r="K34" i="22" s="1"/>
  <c r="G34" i="22"/>
  <c r="Z33" i="22"/>
  <c r="AA33" i="22" s="1"/>
  <c r="V33" i="22"/>
  <c r="W33" i="22" s="1"/>
  <c r="R33" i="22"/>
  <c r="S33" i="22" s="1"/>
  <c r="N33" i="22"/>
  <c r="O33" i="22" s="1"/>
  <c r="J33" i="22"/>
  <c r="K33" i="22" s="1"/>
  <c r="G33" i="22"/>
  <c r="Z32" i="22"/>
  <c r="AA32" i="22" s="1"/>
  <c r="V32" i="22"/>
  <c r="W32" i="22" s="1"/>
  <c r="R32" i="22"/>
  <c r="S32" i="22" s="1"/>
  <c r="N32" i="22"/>
  <c r="O32" i="22" s="1"/>
  <c r="J32" i="22"/>
  <c r="K32" i="22" s="1"/>
  <c r="G32" i="22"/>
  <c r="Z31" i="22"/>
  <c r="AA31" i="22" s="1"/>
  <c r="V31" i="22"/>
  <c r="W31" i="22" s="1"/>
  <c r="R31" i="22"/>
  <c r="S31" i="22" s="1"/>
  <c r="N31" i="22"/>
  <c r="O31" i="22" s="1"/>
  <c r="J31" i="22"/>
  <c r="K31" i="22" s="1"/>
  <c r="G31" i="22"/>
  <c r="Z25" i="22"/>
  <c r="AA25" i="22" s="1"/>
  <c r="V25" i="22"/>
  <c r="W25" i="22" s="1"/>
  <c r="R25" i="22"/>
  <c r="S25" i="22" s="1"/>
  <c r="N25" i="22"/>
  <c r="O25" i="22" s="1"/>
  <c r="J25" i="22"/>
  <c r="K25" i="22" s="1"/>
  <c r="G25" i="22"/>
  <c r="Z24" i="22"/>
  <c r="AA24" i="22" s="1"/>
  <c r="V24" i="22"/>
  <c r="W24" i="22" s="1"/>
  <c r="R24" i="22"/>
  <c r="S24" i="22" s="1"/>
  <c r="N24" i="22"/>
  <c r="O24" i="22" s="1"/>
  <c r="J24" i="22"/>
  <c r="K24" i="22" s="1"/>
  <c r="G24" i="22"/>
  <c r="Z23" i="22"/>
  <c r="AA23" i="22" s="1"/>
  <c r="V23" i="22"/>
  <c r="W23" i="22" s="1"/>
  <c r="R23" i="22"/>
  <c r="S23" i="22" s="1"/>
  <c r="N23" i="22"/>
  <c r="O23" i="22" s="1"/>
  <c r="J23" i="22"/>
  <c r="K23" i="22" s="1"/>
  <c r="G23" i="22"/>
  <c r="Z17" i="22"/>
  <c r="AA17" i="22" s="1"/>
  <c r="V17" i="22"/>
  <c r="W17" i="22" s="1"/>
  <c r="R17" i="22"/>
  <c r="S17" i="22" s="1"/>
  <c r="N17" i="22"/>
  <c r="O17" i="22" s="1"/>
  <c r="J17" i="22"/>
  <c r="K17" i="22" s="1"/>
  <c r="G17" i="22"/>
  <c r="Z16" i="22"/>
  <c r="AA16" i="22" s="1"/>
  <c r="V16" i="22"/>
  <c r="W16" i="22" s="1"/>
  <c r="R16" i="22"/>
  <c r="S16" i="22" s="1"/>
  <c r="N16" i="22"/>
  <c r="O16" i="22" s="1"/>
  <c r="J16" i="22"/>
  <c r="K16" i="22" s="1"/>
  <c r="E16" i="22"/>
  <c r="G16" i="22" s="1"/>
  <c r="Z10" i="22"/>
  <c r="AA10" i="22" s="1"/>
  <c r="V10" i="22"/>
  <c r="W10" i="22" s="1"/>
  <c r="R10" i="22"/>
  <c r="S10" i="22" s="1"/>
  <c r="N10" i="22"/>
  <c r="O10" i="22" s="1"/>
  <c r="J10" i="22"/>
  <c r="K10" i="22" s="1"/>
  <c r="G10" i="22"/>
  <c r="Z9" i="22"/>
  <c r="AA9" i="22" s="1"/>
  <c r="V9" i="22"/>
  <c r="W9" i="22" s="1"/>
  <c r="R9" i="22"/>
  <c r="S9" i="22" s="1"/>
  <c r="N9" i="22"/>
  <c r="O9" i="22" s="1"/>
  <c r="J9" i="22"/>
  <c r="K9" i="22" s="1"/>
  <c r="G9" i="22"/>
  <c r="Z8" i="22"/>
  <c r="AA8" i="22" s="1"/>
  <c r="V8" i="22"/>
  <c r="W8" i="22" s="1"/>
  <c r="R8" i="22"/>
  <c r="S8" i="22" s="1"/>
  <c r="N8" i="22"/>
  <c r="O8" i="22" s="1"/>
  <c r="J8" i="22"/>
  <c r="K8" i="22" s="1"/>
  <c r="G8" i="22"/>
  <c r="Z7" i="22"/>
  <c r="AA7" i="22" s="1"/>
  <c r="V7" i="22"/>
  <c r="W7" i="22" s="1"/>
  <c r="R7" i="22"/>
  <c r="S7" i="22" s="1"/>
  <c r="N7" i="22"/>
  <c r="O7" i="22" s="1"/>
  <c r="J7" i="22"/>
  <c r="K7" i="22" s="1"/>
  <c r="E7" i="22"/>
  <c r="G7" i="22" s="1"/>
  <c r="W40" i="22" l="1"/>
  <c r="AA40" i="22"/>
  <c r="W19" i="22"/>
  <c r="O27" i="22"/>
  <c r="AA19" i="22"/>
  <c r="S27" i="22"/>
  <c r="S19" i="22"/>
  <c r="W27" i="22"/>
  <c r="G12" i="22"/>
  <c r="G40" i="22"/>
  <c r="K27" i="22"/>
  <c r="G19" i="22"/>
  <c r="AA12" i="22"/>
  <c r="O19" i="22"/>
  <c r="G27" i="22"/>
  <c r="AA27" i="22"/>
  <c r="K12" i="22"/>
  <c r="K40" i="22"/>
  <c r="S12" i="22"/>
  <c r="K19" i="22"/>
  <c r="O40" i="22"/>
  <c r="O12" i="22"/>
  <c r="W12" i="22"/>
  <c r="S40" i="22"/>
  <c r="F18" i="39" l="1"/>
  <c r="F117" i="24"/>
  <c r="J117" i="24" s="1"/>
  <c r="K117" i="24" s="1"/>
  <c r="Z112" i="24"/>
  <c r="AA112" i="24" s="1"/>
  <c r="V112" i="24"/>
  <c r="W112" i="24" s="1"/>
  <c r="R112" i="24"/>
  <c r="S112" i="24" s="1"/>
  <c r="N112" i="24"/>
  <c r="O112" i="24" s="1"/>
  <c r="J112" i="24"/>
  <c r="K112" i="24" s="1"/>
  <c r="E112" i="24"/>
  <c r="G112" i="24" s="1"/>
  <c r="Z111" i="24"/>
  <c r="AA111" i="24" s="1"/>
  <c r="V111" i="24"/>
  <c r="W111" i="24" s="1"/>
  <c r="R111" i="24"/>
  <c r="S111" i="24" s="1"/>
  <c r="N111" i="24"/>
  <c r="O111" i="24" s="1"/>
  <c r="J111" i="24"/>
  <c r="K111" i="24" s="1"/>
  <c r="E111" i="24"/>
  <c r="G111" i="24" s="1"/>
  <c r="Z110" i="24"/>
  <c r="AA110" i="24" s="1"/>
  <c r="V110" i="24"/>
  <c r="W110" i="24" s="1"/>
  <c r="R110" i="24"/>
  <c r="S110" i="24" s="1"/>
  <c r="N110" i="24"/>
  <c r="O110" i="24" s="1"/>
  <c r="J110" i="24"/>
  <c r="K110" i="24" s="1"/>
  <c r="E110" i="24"/>
  <c r="G110" i="24" s="1"/>
  <c r="Z109" i="24"/>
  <c r="AA109" i="24" s="1"/>
  <c r="V109" i="24"/>
  <c r="W109" i="24" s="1"/>
  <c r="R109" i="24"/>
  <c r="S109" i="24" s="1"/>
  <c r="N109" i="24"/>
  <c r="O109" i="24" s="1"/>
  <c r="J109" i="24"/>
  <c r="K109" i="24" s="1"/>
  <c r="E109" i="24"/>
  <c r="G109" i="24" s="1"/>
  <c r="Z108" i="24"/>
  <c r="AA108" i="24" s="1"/>
  <c r="V108" i="24"/>
  <c r="W108" i="24" s="1"/>
  <c r="R108" i="24"/>
  <c r="S108" i="24" s="1"/>
  <c r="N108" i="24"/>
  <c r="O108" i="24" s="1"/>
  <c r="J108" i="24"/>
  <c r="K108" i="24" s="1"/>
  <c r="E108" i="24"/>
  <c r="G108" i="24" s="1"/>
  <c r="Z102" i="24"/>
  <c r="AA102" i="24" s="1"/>
  <c r="V102" i="24"/>
  <c r="W102" i="24" s="1"/>
  <c r="R102" i="24"/>
  <c r="S102" i="24" s="1"/>
  <c r="N102" i="24"/>
  <c r="O102" i="24" s="1"/>
  <c r="J102" i="24"/>
  <c r="K102" i="24" s="1"/>
  <c r="E102" i="24"/>
  <c r="G102" i="24" s="1"/>
  <c r="Z101" i="24"/>
  <c r="AA101" i="24" s="1"/>
  <c r="V101" i="24"/>
  <c r="W101" i="24" s="1"/>
  <c r="R101" i="24"/>
  <c r="S101" i="24" s="1"/>
  <c r="N101" i="24"/>
  <c r="O101" i="24" s="1"/>
  <c r="J101" i="24"/>
  <c r="K101" i="24" s="1"/>
  <c r="E101" i="24"/>
  <c r="G101" i="24" s="1"/>
  <c r="Z100" i="24"/>
  <c r="AA100" i="24" s="1"/>
  <c r="V100" i="24"/>
  <c r="W100" i="24" s="1"/>
  <c r="R100" i="24"/>
  <c r="S100" i="24" s="1"/>
  <c r="N100" i="24"/>
  <c r="O100" i="24" s="1"/>
  <c r="J100" i="24"/>
  <c r="K100" i="24" s="1"/>
  <c r="E100" i="24"/>
  <c r="G100" i="24" s="1"/>
  <c r="Z99" i="24"/>
  <c r="AA99" i="24" s="1"/>
  <c r="V99" i="24"/>
  <c r="W99" i="24" s="1"/>
  <c r="R99" i="24"/>
  <c r="S99" i="24" s="1"/>
  <c r="N99" i="24"/>
  <c r="O99" i="24" s="1"/>
  <c r="J99" i="24"/>
  <c r="K99" i="24" s="1"/>
  <c r="E99" i="24"/>
  <c r="G99" i="24" s="1"/>
  <c r="Z98" i="24"/>
  <c r="AA98" i="24" s="1"/>
  <c r="V98" i="24"/>
  <c r="W98" i="24" s="1"/>
  <c r="R98" i="24"/>
  <c r="S98" i="24" s="1"/>
  <c r="N98" i="24"/>
  <c r="O98" i="24" s="1"/>
  <c r="J98" i="24"/>
  <c r="K98" i="24" s="1"/>
  <c r="E98" i="24"/>
  <c r="G98" i="24" s="1"/>
  <c r="Z92" i="24"/>
  <c r="AA92" i="24" s="1"/>
  <c r="V92" i="24"/>
  <c r="W92" i="24" s="1"/>
  <c r="R92" i="24"/>
  <c r="S92" i="24" s="1"/>
  <c r="O92" i="24"/>
  <c r="J92" i="24"/>
  <c r="K92" i="24" s="1"/>
  <c r="E92" i="24"/>
  <c r="G92" i="24" s="1"/>
  <c r="Z91" i="24"/>
  <c r="AA91" i="24" s="1"/>
  <c r="V91" i="24"/>
  <c r="W91" i="24" s="1"/>
  <c r="R91" i="24"/>
  <c r="S91" i="24" s="1"/>
  <c r="O91" i="24"/>
  <c r="J91" i="24"/>
  <c r="K91" i="24" s="1"/>
  <c r="E91" i="24"/>
  <c r="G91" i="24" s="1"/>
  <c r="Z90" i="24"/>
  <c r="AA90" i="24" s="1"/>
  <c r="V90" i="24"/>
  <c r="W90" i="24" s="1"/>
  <c r="R90" i="24"/>
  <c r="S90" i="24" s="1"/>
  <c r="O90" i="24"/>
  <c r="J90" i="24"/>
  <c r="K90" i="24" s="1"/>
  <c r="E90" i="24"/>
  <c r="G90" i="24" s="1"/>
  <c r="Z89" i="24"/>
  <c r="AA89" i="24" s="1"/>
  <c r="V89" i="24"/>
  <c r="W89" i="24" s="1"/>
  <c r="R89" i="24"/>
  <c r="S89" i="24" s="1"/>
  <c r="O89" i="24"/>
  <c r="J89" i="24"/>
  <c r="K89" i="24" s="1"/>
  <c r="E89" i="24"/>
  <c r="G89" i="24" s="1"/>
  <c r="Z88" i="24"/>
  <c r="AA88" i="24" s="1"/>
  <c r="V88" i="24"/>
  <c r="W88" i="24" s="1"/>
  <c r="R88" i="24"/>
  <c r="S88" i="24" s="1"/>
  <c r="O88" i="24"/>
  <c r="J88" i="24"/>
  <c r="K88" i="24" s="1"/>
  <c r="E88" i="24"/>
  <c r="G88" i="24" s="1"/>
  <c r="Z87" i="24"/>
  <c r="AA87" i="24" s="1"/>
  <c r="V87" i="24"/>
  <c r="W87" i="24" s="1"/>
  <c r="R87" i="24"/>
  <c r="S87" i="24" s="1"/>
  <c r="O87" i="24"/>
  <c r="J87" i="24"/>
  <c r="K87" i="24" s="1"/>
  <c r="E87" i="24"/>
  <c r="G87" i="24" s="1"/>
  <c r="Z81" i="24"/>
  <c r="AA81" i="24" s="1"/>
  <c r="V81" i="24"/>
  <c r="W81" i="24" s="1"/>
  <c r="R81" i="24"/>
  <c r="S81" i="24" s="1"/>
  <c r="N81" i="24"/>
  <c r="O81" i="24" s="1"/>
  <c r="J81" i="24"/>
  <c r="K81" i="24" s="1"/>
  <c r="E81" i="24"/>
  <c r="G81" i="24" s="1"/>
  <c r="Z80" i="24"/>
  <c r="AA80" i="24" s="1"/>
  <c r="V80" i="24"/>
  <c r="W80" i="24" s="1"/>
  <c r="R80" i="24"/>
  <c r="S80" i="24" s="1"/>
  <c r="N80" i="24"/>
  <c r="O80" i="24" s="1"/>
  <c r="J80" i="24"/>
  <c r="K80" i="24" s="1"/>
  <c r="E80" i="24"/>
  <c r="G80" i="24" s="1"/>
  <c r="Z79" i="24"/>
  <c r="AA79" i="24" s="1"/>
  <c r="V79" i="24"/>
  <c r="W79" i="24" s="1"/>
  <c r="R79" i="24"/>
  <c r="S79" i="24" s="1"/>
  <c r="N79" i="24"/>
  <c r="O79" i="24" s="1"/>
  <c r="J79" i="24"/>
  <c r="K79" i="24" s="1"/>
  <c r="E79" i="24"/>
  <c r="G79" i="24" s="1"/>
  <c r="Z78" i="24"/>
  <c r="AA78" i="24" s="1"/>
  <c r="V78" i="24"/>
  <c r="W78" i="24" s="1"/>
  <c r="R78" i="24"/>
  <c r="S78" i="24" s="1"/>
  <c r="N78" i="24"/>
  <c r="O78" i="24" s="1"/>
  <c r="J78" i="24"/>
  <c r="K78" i="24" s="1"/>
  <c r="E78" i="24"/>
  <c r="G78" i="24" s="1"/>
  <c r="Z77" i="24"/>
  <c r="AA77" i="24" s="1"/>
  <c r="V77" i="24"/>
  <c r="W77" i="24" s="1"/>
  <c r="R77" i="24"/>
  <c r="S77" i="24" s="1"/>
  <c r="N77" i="24"/>
  <c r="O77" i="24" s="1"/>
  <c r="J77" i="24"/>
  <c r="K77" i="24" s="1"/>
  <c r="E77" i="24"/>
  <c r="G77" i="24" s="1"/>
  <c r="Z76" i="24"/>
  <c r="AA76" i="24" s="1"/>
  <c r="V76" i="24"/>
  <c r="W76" i="24" s="1"/>
  <c r="R76" i="24"/>
  <c r="S76" i="24" s="1"/>
  <c r="N76" i="24"/>
  <c r="O76" i="24" s="1"/>
  <c r="J76" i="24"/>
  <c r="K76" i="24" s="1"/>
  <c r="E76" i="24"/>
  <c r="G76" i="24" s="1"/>
  <c r="Z75" i="24"/>
  <c r="AA75" i="24" s="1"/>
  <c r="V75" i="24"/>
  <c r="W75" i="24" s="1"/>
  <c r="R75" i="24"/>
  <c r="S75" i="24" s="1"/>
  <c r="N75" i="24"/>
  <c r="O75" i="24" s="1"/>
  <c r="J75" i="24"/>
  <c r="K75" i="24" s="1"/>
  <c r="E75" i="24"/>
  <c r="G75" i="24" s="1"/>
  <c r="Z74" i="24"/>
  <c r="AA74" i="24" s="1"/>
  <c r="V74" i="24"/>
  <c r="W74" i="24" s="1"/>
  <c r="R74" i="24"/>
  <c r="S74" i="24" s="1"/>
  <c r="N74" i="24"/>
  <c r="O74" i="24" s="1"/>
  <c r="J74" i="24"/>
  <c r="K74" i="24" s="1"/>
  <c r="E74" i="24"/>
  <c r="G74" i="24" s="1"/>
  <c r="Z73" i="24"/>
  <c r="AA73" i="24" s="1"/>
  <c r="V73" i="24"/>
  <c r="W73" i="24" s="1"/>
  <c r="R73" i="24"/>
  <c r="S73" i="24" s="1"/>
  <c r="N73" i="24"/>
  <c r="O73" i="24" s="1"/>
  <c r="J73" i="24"/>
  <c r="K73" i="24" s="1"/>
  <c r="E73" i="24"/>
  <c r="G73" i="24" s="1"/>
  <c r="Z72" i="24"/>
  <c r="AA72" i="24" s="1"/>
  <c r="V72" i="24"/>
  <c r="W72" i="24" s="1"/>
  <c r="R72" i="24"/>
  <c r="S72" i="24" s="1"/>
  <c r="N72" i="24"/>
  <c r="O72" i="24" s="1"/>
  <c r="J72" i="24"/>
  <c r="K72" i="24" s="1"/>
  <c r="E72" i="24"/>
  <c r="G72" i="24" s="1"/>
  <c r="Z71" i="24"/>
  <c r="AA71" i="24" s="1"/>
  <c r="V71" i="24"/>
  <c r="W71" i="24" s="1"/>
  <c r="R71" i="24"/>
  <c r="S71" i="24" s="1"/>
  <c r="N71" i="24"/>
  <c r="O71" i="24" s="1"/>
  <c r="J71" i="24"/>
  <c r="K71" i="24" s="1"/>
  <c r="E71" i="24"/>
  <c r="G71" i="24" s="1"/>
  <c r="Z70" i="24"/>
  <c r="AA70" i="24" s="1"/>
  <c r="V70" i="24"/>
  <c r="W70" i="24" s="1"/>
  <c r="R70" i="24"/>
  <c r="S70" i="24" s="1"/>
  <c r="N70" i="24"/>
  <c r="O70" i="24" s="1"/>
  <c r="J70" i="24"/>
  <c r="K70" i="24" s="1"/>
  <c r="E70" i="24"/>
  <c r="G70" i="24" s="1"/>
  <c r="Z69" i="24"/>
  <c r="AA69" i="24" s="1"/>
  <c r="V69" i="24"/>
  <c r="W69" i="24" s="1"/>
  <c r="R69" i="24"/>
  <c r="S69" i="24" s="1"/>
  <c r="N69" i="24"/>
  <c r="O69" i="24" s="1"/>
  <c r="J69" i="24"/>
  <c r="K69" i="24" s="1"/>
  <c r="E69" i="24"/>
  <c r="G69" i="24" s="1"/>
  <c r="Z68" i="24"/>
  <c r="AA68" i="24" s="1"/>
  <c r="V68" i="24"/>
  <c r="W68" i="24" s="1"/>
  <c r="R68" i="24"/>
  <c r="S68" i="24" s="1"/>
  <c r="N68" i="24"/>
  <c r="O68" i="24" s="1"/>
  <c r="J68" i="24"/>
  <c r="K68" i="24" s="1"/>
  <c r="E68" i="24"/>
  <c r="G68" i="24" s="1"/>
  <c r="Z62" i="24"/>
  <c r="AA62" i="24" s="1"/>
  <c r="V62" i="24"/>
  <c r="W62" i="24" s="1"/>
  <c r="R62" i="24"/>
  <c r="S62" i="24" s="1"/>
  <c r="N62" i="24"/>
  <c r="O62" i="24" s="1"/>
  <c r="J62" i="24"/>
  <c r="K62" i="24" s="1"/>
  <c r="E62" i="24"/>
  <c r="G62" i="24" s="1"/>
  <c r="Z61" i="24"/>
  <c r="AA61" i="24" s="1"/>
  <c r="V61" i="24"/>
  <c r="W61" i="24" s="1"/>
  <c r="R61" i="24"/>
  <c r="S61" i="24" s="1"/>
  <c r="N61" i="24"/>
  <c r="O61" i="24" s="1"/>
  <c r="J61" i="24"/>
  <c r="K61" i="24" s="1"/>
  <c r="E61" i="24"/>
  <c r="G61" i="24" s="1"/>
  <c r="Z60" i="24"/>
  <c r="AA60" i="24" s="1"/>
  <c r="V60" i="24"/>
  <c r="W60" i="24" s="1"/>
  <c r="R60" i="24"/>
  <c r="S60" i="24" s="1"/>
  <c r="N60" i="24"/>
  <c r="O60" i="24" s="1"/>
  <c r="J60" i="24"/>
  <c r="K60" i="24" s="1"/>
  <c r="E60" i="24"/>
  <c r="G60" i="24" s="1"/>
  <c r="Z59" i="24"/>
  <c r="AA59" i="24" s="1"/>
  <c r="V59" i="24"/>
  <c r="W59" i="24" s="1"/>
  <c r="R59" i="24"/>
  <c r="S59" i="24" s="1"/>
  <c r="N59" i="24"/>
  <c r="O59" i="24" s="1"/>
  <c r="J59" i="24"/>
  <c r="K59" i="24" s="1"/>
  <c r="E59" i="24"/>
  <c r="G59" i="24" s="1"/>
  <c r="Z53" i="24"/>
  <c r="AA53" i="24" s="1"/>
  <c r="V53" i="24"/>
  <c r="W53" i="24" s="1"/>
  <c r="R53" i="24"/>
  <c r="S53" i="24" s="1"/>
  <c r="N53" i="24"/>
  <c r="O53" i="24" s="1"/>
  <c r="J53" i="24"/>
  <c r="K53" i="24" s="1"/>
  <c r="E53" i="24"/>
  <c r="G53" i="24" s="1"/>
  <c r="Z52" i="24"/>
  <c r="AA52" i="24" s="1"/>
  <c r="V52" i="24"/>
  <c r="W52" i="24" s="1"/>
  <c r="R52" i="24"/>
  <c r="S52" i="24" s="1"/>
  <c r="N52" i="24"/>
  <c r="O52" i="24" s="1"/>
  <c r="J52" i="24"/>
  <c r="K52" i="24" s="1"/>
  <c r="E52" i="24"/>
  <c r="G52" i="24" s="1"/>
  <c r="Z51" i="24"/>
  <c r="AA51" i="24" s="1"/>
  <c r="V51" i="24"/>
  <c r="W51" i="24" s="1"/>
  <c r="R51" i="24"/>
  <c r="S51" i="24" s="1"/>
  <c r="N51" i="24"/>
  <c r="O51" i="24" s="1"/>
  <c r="J51" i="24"/>
  <c r="K51" i="24" s="1"/>
  <c r="E51" i="24"/>
  <c r="G51" i="24" s="1"/>
  <c r="Z50" i="24"/>
  <c r="AA50" i="24" s="1"/>
  <c r="V50" i="24"/>
  <c r="W50" i="24" s="1"/>
  <c r="R50" i="24"/>
  <c r="S50" i="24" s="1"/>
  <c r="N50" i="24"/>
  <c r="O50" i="24" s="1"/>
  <c r="J50" i="24"/>
  <c r="K50" i="24" s="1"/>
  <c r="E50" i="24"/>
  <c r="G50" i="24" s="1"/>
  <c r="Z49" i="24"/>
  <c r="AA49" i="24" s="1"/>
  <c r="V49" i="24"/>
  <c r="W49" i="24" s="1"/>
  <c r="R49" i="24"/>
  <c r="S49" i="24" s="1"/>
  <c r="N49" i="24"/>
  <c r="O49" i="24" s="1"/>
  <c r="J49" i="24"/>
  <c r="K49" i="24" s="1"/>
  <c r="E49" i="24"/>
  <c r="G49" i="24" s="1"/>
  <c r="Z43" i="24"/>
  <c r="AA43" i="24" s="1"/>
  <c r="V43" i="24"/>
  <c r="W43" i="24" s="1"/>
  <c r="R43" i="24"/>
  <c r="S43" i="24" s="1"/>
  <c r="N43" i="24"/>
  <c r="O43" i="24" s="1"/>
  <c r="J43" i="24"/>
  <c r="K43" i="24" s="1"/>
  <c r="E43" i="24"/>
  <c r="G43" i="24" s="1"/>
  <c r="Z42" i="24"/>
  <c r="AA42" i="24" s="1"/>
  <c r="V42" i="24"/>
  <c r="W42" i="24" s="1"/>
  <c r="R42" i="24"/>
  <c r="S42" i="24" s="1"/>
  <c r="N42" i="24"/>
  <c r="O42" i="24" s="1"/>
  <c r="J42" i="24"/>
  <c r="K42" i="24" s="1"/>
  <c r="E42" i="24"/>
  <c r="G42" i="24" s="1"/>
  <c r="Z36" i="24"/>
  <c r="AA36" i="24" s="1"/>
  <c r="V36" i="24"/>
  <c r="W36" i="24" s="1"/>
  <c r="R36" i="24"/>
  <c r="S36" i="24" s="1"/>
  <c r="O36" i="24"/>
  <c r="J36" i="24"/>
  <c r="K36" i="24" s="1"/>
  <c r="E36" i="24"/>
  <c r="G36" i="24" s="1"/>
  <c r="Z35" i="24"/>
  <c r="AA35" i="24" s="1"/>
  <c r="V35" i="24"/>
  <c r="W35" i="24" s="1"/>
  <c r="R35" i="24"/>
  <c r="S35" i="24" s="1"/>
  <c r="N35" i="24"/>
  <c r="O35" i="24" s="1"/>
  <c r="J35" i="24"/>
  <c r="K35" i="24" s="1"/>
  <c r="E35" i="24"/>
  <c r="G35" i="24" s="1"/>
  <c r="Z34" i="24"/>
  <c r="AA34" i="24" s="1"/>
  <c r="V34" i="24"/>
  <c r="W34" i="24" s="1"/>
  <c r="R34" i="24"/>
  <c r="S34" i="24" s="1"/>
  <c r="O34" i="24"/>
  <c r="J34" i="24"/>
  <c r="K34" i="24" s="1"/>
  <c r="E34" i="24"/>
  <c r="G34" i="24" s="1"/>
  <c r="Z33" i="24"/>
  <c r="AA33" i="24" s="1"/>
  <c r="V33" i="24"/>
  <c r="W33" i="24" s="1"/>
  <c r="R33" i="24"/>
  <c r="S33" i="24" s="1"/>
  <c r="O33" i="24"/>
  <c r="J33" i="24"/>
  <c r="K33" i="24" s="1"/>
  <c r="E33" i="24"/>
  <c r="G33" i="24" s="1"/>
  <c r="Z32" i="24"/>
  <c r="AA32" i="24" s="1"/>
  <c r="V32" i="24"/>
  <c r="W32" i="24" s="1"/>
  <c r="R32" i="24"/>
  <c r="S32" i="24" s="1"/>
  <c r="N32" i="24"/>
  <c r="O32" i="24" s="1"/>
  <c r="J32" i="24"/>
  <c r="K32" i="24" s="1"/>
  <c r="E32" i="24"/>
  <c r="G32" i="24" s="1"/>
  <c r="Z31" i="24"/>
  <c r="AA31" i="24" s="1"/>
  <c r="V31" i="24"/>
  <c r="W31" i="24" s="1"/>
  <c r="R31" i="24"/>
  <c r="S31" i="24" s="1"/>
  <c r="N31" i="24"/>
  <c r="O31" i="24" s="1"/>
  <c r="J31" i="24"/>
  <c r="K31" i="24" s="1"/>
  <c r="E31" i="24"/>
  <c r="G31" i="24" s="1"/>
  <c r="Z30" i="24"/>
  <c r="AA30" i="24" s="1"/>
  <c r="V30" i="24"/>
  <c r="W30" i="24" s="1"/>
  <c r="R30" i="24"/>
  <c r="S30" i="24" s="1"/>
  <c r="N30" i="24"/>
  <c r="O30" i="24" s="1"/>
  <c r="J30" i="24"/>
  <c r="K30" i="24" s="1"/>
  <c r="E30" i="24"/>
  <c r="G30" i="24" s="1"/>
  <c r="Z29" i="24"/>
  <c r="AA29" i="24" s="1"/>
  <c r="V29" i="24"/>
  <c r="W29" i="24" s="1"/>
  <c r="R29" i="24"/>
  <c r="S29" i="24" s="1"/>
  <c r="O29" i="24"/>
  <c r="J29" i="24"/>
  <c r="K29" i="24" s="1"/>
  <c r="E29" i="24"/>
  <c r="G29" i="24" s="1"/>
  <c r="Z28" i="24"/>
  <c r="AA28" i="24" s="1"/>
  <c r="V28" i="24"/>
  <c r="W28" i="24" s="1"/>
  <c r="R28" i="24"/>
  <c r="S28" i="24" s="1"/>
  <c r="N28" i="24"/>
  <c r="O28" i="24" s="1"/>
  <c r="J28" i="24"/>
  <c r="K28" i="24" s="1"/>
  <c r="E28" i="24"/>
  <c r="G28" i="24" s="1"/>
  <c r="Z27" i="24"/>
  <c r="AA27" i="24" s="1"/>
  <c r="V27" i="24"/>
  <c r="W27" i="24" s="1"/>
  <c r="R27" i="24"/>
  <c r="S27" i="24" s="1"/>
  <c r="O27" i="24"/>
  <c r="J27" i="24"/>
  <c r="K27" i="24" s="1"/>
  <c r="E27" i="24"/>
  <c r="G27" i="24" s="1"/>
  <c r="Z26" i="24"/>
  <c r="AA26" i="24" s="1"/>
  <c r="V26" i="24"/>
  <c r="W26" i="24" s="1"/>
  <c r="R26" i="24"/>
  <c r="S26" i="24" s="1"/>
  <c r="N26" i="24"/>
  <c r="O26" i="24" s="1"/>
  <c r="J26" i="24"/>
  <c r="K26" i="24" s="1"/>
  <c r="E26" i="24"/>
  <c r="G26" i="24" s="1"/>
  <c r="Z25" i="24"/>
  <c r="AA25" i="24" s="1"/>
  <c r="V25" i="24"/>
  <c r="W25" i="24" s="1"/>
  <c r="R25" i="24"/>
  <c r="S25" i="24" s="1"/>
  <c r="O25" i="24"/>
  <c r="J25" i="24"/>
  <c r="K25" i="24" s="1"/>
  <c r="E25" i="24"/>
  <c r="G25" i="24" s="1"/>
  <c r="Z24" i="24"/>
  <c r="AA24" i="24" s="1"/>
  <c r="V24" i="24"/>
  <c r="W24" i="24" s="1"/>
  <c r="R24" i="24"/>
  <c r="S24" i="24" s="1"/>
  <c r="O24" i="24"/>
  <c r="J24" i="24"/>
  <c r="K24" i="24" s="1"/>
  <c r="E24" i="24"/>
  <c r="G24" i="24" s="1"/>
  <c r="Z23" i="24"/>
  <c r="AA23" i="24" s="1"/>
  <c r="V23" i="24"/>
  <c r="W23" i="24" s="1"/>
  <c r="R23" i="24"/>
  <c r="S23" i="24" s="1"/>
  <c r="N23" i="24"/>
  <c r="O23" i="24" s="1"/>
  <c r="J23" i="24"/>
  <c r="K23" i="24" s="1"/>
  <c r="E23" i="24"/>
  <c r="G23" i="24" s="1"/>
  <c r="Z22" i="24"/>
  <c r="AA22" i="24" s="1"/>
  <c r="V22" i="24"/>
  <c r="W22" i="24" s="1"/>
  <c r="R22" i="24"/>
  <c r="S22" i="24" s="1"/>
  <c r="N22" i="24"/>
  <c r="O22" i="24" s="1"/>
  <c r="J22" i="24"/>
  <c r="K22" i="24" s="1"/>
  <c r="E22" i="24"/>
  <c r="G22" i="24" s="1"/>
  <c r="Z21" i="24"/>
  <c r="AA21" i="24" s="1"/>
  <c r="V21" i="24"/>
  <c r="W21" i="24" s="1"/>
  <c r="R21" i="24"/>
  <c r="S21" i="24" s="1"/>
  <c r="O21" i="24"/>
  <c r="J21" i="24"/>
  <c r="K21" i="24" s="1"/>
  <c r="E21" i="24"/>
  <c r="G21" i="24" s="1"/>
  <c r="Z20" i="24"/>
  <c r="AA20" i="24" s="1"/>
  <c r="V20" i="24"/>
  <c r="W20" i="24" s="1"/>
  <c r="R20" i="24"/>
  <c r="S20" i="24" s="1"/>
  <c r="N20" i="24"/>
  <c r="O20" i="24" s="1"/>
  <c r="J20" i="24"/>
  <c r="K20" i="24" s="1"/>
  <c r="E20" i="24"/>
  <c r="G20" i="24" s="1"/>
  <c r="Z19" i="24"/>
  <c r="AA19" i="24" s="1"/>
  <c r="V19" i="24"/>
  <c r="W19" i="24" s="1"/>
  <c r="R19" i="24"/>
  <c r="S19" i="24" s="1"/>
  <c r="N19" i="24"/>
  <c r="O19" i="24" s="1"/>
  <c r="J19" i="24"/>
  <c r="K19" i="24" s="1"/>
  <c r="E19" i="24"/>
  <c r="G19" i="24" s="1"/>
  <c r="Z18" i="24"/>
  <c r="AA18" i="24" s="1"/>
  <c r="V18" i="24"/>
  <c r="W18" i="24" s="1"/>
  <c r="R18" i="24"/>
  <c r="S18" i="24" s="1"/>
  <c r="N18" i="24"/>
  <c r="O18" i="24" s="1"/>
  <c r="J18" i="24"/>
  <c r="K18" i="24" s="1"/>
  <c r="E18" i="24"/>
  <c r="G18" i="24" s="1"/>
  <c r="Z17" i="24"/>
  <c r="AA17" i="24" s="1"/>
  <c r="V17" i="24"/>
  <c r="W17" i="24" s="1"/>
  <c r="R17" i="24"/>
  <c r="S17" i="24" s="1"/>
  <c r="N17" i="24"/>
  <c r="O17" i="24" s="1"/>
  <c r="J17" i="24"/>
  <c r="K17" i="24" s="1"/>
  <c r="E17" i="24"/>
  <c r="G17" i="24" s="1"/>
  <c r="Z16" i="24"/>
  <c r="AA16" i="24" s="1"/>
  <c r="V16" i="24"/>
  <c r="W16" i="24" s="1"/>
  <c r="R16" i="24"/>
  <c r="S16" i="24" s="1"/>
  <c r="N16" i="24"/>
  <c r="O16" i="24" s="1"/>
  <c r="J16" i="24"/>
  <c r="K16" i="24" s="1"/>
  <c r="E16" i="24"/>
  <c r="G16" i="24" s="1"/>
  <c r="Z15" i="24"/>
  <c r="AA15" i="24" s="1"/>
  <c r="V15" i="24"/>
  <c r="W15" i="24" s="1"/>
  <c r="R15" i="24"/>
  <c r="S15" i="24" s="1"/>
  <c r="N15" i="24"/>
  <c r="O15" i="24" s="1"/>
  <c r="J15" i="24"/>
  <c r="K15" i="24" s="1"/>
  <c r="E15" i="24"/>
  <c r="G15" i="24" s="1"/>
  <c r="Z14" i="24"/>
  <c r="AA14" i="24" s="1"/>
  <c r="V14" i="24"/>
  <c r="W14" i="24" s="1"/>
  <c r="R14" i="24"/>
  <c r="S14" i="24" s="1"/>
  <c r="N14" i="24"/>
  <c r="O14" i="24" s="1"/>
  <c r="J14" i="24"/>
  <c r="K14" i="24" s="1"/>
  <c r="E14" i="24"/>
  <c r="G14" i="24" s="1"/>
  <c r="Z13" i="24"/>
  <c r="AA13" i="24" s="1"/>
  <c r="V13" i="24"/>
  <c r="W13" i="24" s="1"/>
  <c r="R13" i="24"/>
  <c r="S13" i="24" s="1"/>
  <c r="N13" i="24"/>
  <c r="O13" i="24" s="1"/>
  <c r="J13" i="24"/>
  <c r="K13" i="24" s="1"/>
  <c r="E13" i="24"/>
  <c r="G13" i="24" s="1"/>
  <c r="Z12" i="24"/>
  <c r="AA12" i="24" s="1"/>
  <c r="V12" i="24"/>
  <c r="W12" i="24" s="1"/>
  <c r="R12" i="24"/>
  <c r="S12" i="24" s="1"/>
  <c r="O12" i="24"/>
  <c r="J12" i="24"/>
  <c r="K12" i="24" s="1"/>
  <c r="E12" i="24"/>
  <c r="G12" i="24" s="1"/>
  <c r="Z11" i="24"/>
  <c r="AA11" i="24" s="1"/>
  <c r="V11" i="24"/>
  <c r="W11" i="24" s="1"/>
  <c r="R11" i="24"/>
  <c r="S11" i="24" s="1"/>
  <c r="N11" i="24"/>
  <c r="O11" i="24" s="1"/>
  <c r="J11" i="24"/>
  <c r="K11" i="24" s="1"/>
  <c r="E11" i="24"/>
  <c r="G11" i="24" s="1"/>
  <c r="Z10" i="24"/>
  <c r="AA10" i="24" s="1"/>
  <c r="V10" i="24"/>
  <c r="W10" i="24" s="1"/>
  <c r="R10" i="24"/>
  <c r="S10" i="24" s="1"/>
  <c r="N10" i="24"/>
  <c r="O10" i="24" s="1"/>
  <c r="J10" i="24"/>
  <c r="K10" i="24" s="1"/>
  <c r="E10" i="24"/>
  <c r="G10" i="24" s="1"/>
  <c r="Z9" i="24"/>
  <c r="AA9" i="24" s="1"/>
  <c r="V9" i="24"/>
  <c r="W9" i="24" s="1"/>
  <c r="R9" i="24"/>
  <c r="S9" i="24" s="1"/>
  <c r="N9" i="24"/>
  <c r="O9" i="24" s="1"/>
  <c r="J9" i="24"/>
  <c r="K9" i="24" s="1"/>
  <c r="E9" i="24"/>
  <c r="G9" i="24" s="1"/>
  <c r="Z8" i="24"/>
  <c r="AA8" i="24" s="1"/>
  <c r="V8" i="24"/>
  <c r="W8" i="24" s="1"/>
  <c r="R8" i="24"/>
  <c r="S8" i="24" s="1"/>
  <c r="N8" i="24"/>
  <c r="O8" i="24" s="1"/>
  <c r="J8" i="24"/>
  <c r="K8" i="24" s="1"/>
  <c r="E8" i="24"/>
  <c r="G8" i="24" s="1"/>
  <c r="Z7" i="24"/>
  <c r="AA7" i="24" s="1"/>
  <c r="V7" i="24"/>
  <c r="W7" i="24" s="1"/>
  <c r="R7" i="24"/>
  <c r="S7" i="24" s="1"/>
  <c r="N7" i="24"/>
  <c r="O7" i="24" s="1"/>
  <c r="J7" i="24"/>
  <c r="K7" i="24" s="1"/>
  <c r="E7" i="24"/>
  <c r="G7" i="24" s="1"/>
  <c r="G117" i="24" l="1"/>
  <c r="Z117" i="24"/>
  <c r="AA117" i="24" s="1"/>
  <c r="V117" i="24"/>
  <c r="W117" i="24" s="1"/>
  <c r="R117" i="24"/>
  <c r="S117" i="24" s="1"/>
  <c r="N117" i="24"/>
  <c r="O117" i="24" s="1"/>
  <c r="O114" i="24"/>
  <c r="K114" i="24"/>
  <c r="W64" i="24"/>
  <c r="AA64" i="24"/>
  <c r="S55" i="24"/>
  <c r="S83" i="24"/>
  <c r="S114" i="24"/>
  <c r="S38" i="24"/>
  <c r="O94" i="24"/>
  <c r="O38" i="24"/>
  <c r="AA55" i="24"/>
  <c r="AA94" i="24"/>
  <c r="K104" i="24"/>
  <c r="K45" i="24"/>
  <c r="O104" i="24"/>
  <c r="S104" i="24"/>
  <c r="W114" i="24"/>
  <c r="K55" i="24"/>
  <c r="S45" i="24"/>
  <c r="O83" i="24"/>
  <c r="K94" i="24"/>
  <c r="W104" i="24"/>
  <c r="AA114" i="24"/>
  <c r="AA38" i="24"/>
  <c r="W45" i="24"/>
  <c r="AA104" i="24"/>
  <c r="AA45" i="24"/>
  <c r="K64" i="24"/>
  <c r="W38" i="24"/>
  <c r="O45" i="24"/>
  <c r="O55" i="24"/>
  <c r="O64" i="24"/>
  <c r="W83" i="24"/>
  <c r="S94" i="24"/>
  <c r="K83" i="24"/>
  <c r="K38" i="24"/>
  <c r="W55" i="24"/>
  <c r="S64" i="24"/>
  <c r="AA83" i="24"/>
  <c r="W94" i="24"/>
  <c r="W121" i="24" l="1"/>
  <c r="AA121" i="24"/>
  <c r="S121" i="24"/>
  <c r="O121" i="24"/>
  <c r="K121" i="24"/>
  <c r="G83" i="24"/>
  <c r="G38" i="24"/>
  <c r="G45" i="24"/>
  <c r="G55" i="24"/>
  <c r="G64" i="24"/>
  <c r="G94" i="24"/>
  <c r="G104" i="24"/>
  <c r="G114" i="24"/>
  <c r="G121" i="24" l="1"/>
  <c r="F24" i="26" l="1"/>
  <c r="G24" i="26" s="1"/>
  <c r="AA19" i="26"/>
  <c r="W19" i="26"/>
  <c r="S19" i="26"/>
  <c r="O19" i="26"/>
  <c r="K19" i="26"/>
  <c r="E19" i="26"/>
  <c r="AA18" i="26"/>
  <c r="W18" i="26"/>
  <c r="S18" i="26"/>
  <c r="O18" i="26"/>
  <c r="K18" i="26"/>
  <c r="E18" i="26"/>
  <c r="AA12" i="26"/>
  <c r="W12" i="26"/>
  <c r="S12" i="26"/>
  <c r="O12" i="26"/>
  <c r="K12" i="26"/>
  <c r="E12" i="26"/>
  <c r="AA11" i="26"/>
  <c r="W11" i="26"/>
  <c r="R11" i="26"/>
  <c r="S11" i="26" s="1"/>
  <c r="N11" i="26"/>
  <c r="O11" i="26" s="1"/>
  <c r="J11" i="26"/>
  <c r="K11" i="26" s="1"/>
  <c r="E11" i="26"/>
  <c r="Z10" i="26"/>
  <c r="AA10" i="26" s="1"/>
  <c r="W10" i="26"/>
  <c r="R10" i="26"/>
  <c r="S10" i="26" s="1"/>
  <c r="N10" i="26"/>
  <c r="O10" i="26" s="1"/>
  <c r="J10" i="26"/>
  <c r="K10" i="26" s="1"/>
  <c r="E10" i="26"/>
  <c r="AA9" i="26"/>
  <c r="W9" i="26"/>
  <c r="S9" i="26"/>
  <c r="O9" i="26"/>
  <c r="K9" i="26"/>
  <c r="E9" i="26"/>
  <c r="Z8" i="26"/>
  <c r="AA8" i="26" s="1"/>
  <c r="W8" i="26"/>
  <c r="S8" i="26"/>
  <c r="O8" i="26"/>
  <c r="J8" i="26"/>
  <c r="K8" i="26" s="1"/>
  <c r="E8" i="26"/>
  <c r="AA7" i="26"/>
  <c r="W7" i="26"/>
  <c r="S7" i="26"/>
  <c r="O7" i="26"/>
  <c r="K7" i="26"/>
  <c r="E7" i="26"/>
  <c r="G12" i="26" l="1"/>
  <c r="G19" i="26"/>
  <c r="O14" i="26"/>
  <c r="N24" i="26"/>
  <c r="O24" i="26" s="1"/>
  <c r="Z24" i="26"/>
  <c r="AA24" i="26" s="1"/>
  <c r="V24" i="26"/>
  <c r="W24" i="26" s="1"/>
  <c r="R24" i="26"/>
  <c r="S24" i="26" s="1"/>
  <c r="J24" i="26"/>
  <c r="K24" i="26" s="1"/>
  <c r="O21" i="26"/>
  <c r="O28" i="26" s="1"/>
  <c r="S21" i="26"/>
  <c r="S28" i="26" s="1"/>
  <c r="AA14" i="26"/>
  <c r="W21" i="26"/>
  <c r="K21" i="26"/>
  <c r="AA21" i="26"/>
  <c r="G8" i="26"/>
  <c r="G9" i="26"/>
  <c r="S14" i="26"/>
  <c r="G7" i="26"/>
  <c r="G18" i="26"/>
  <c r="K14" i="26"/>
  <c r="G10" i="26"/>
  <c r="G11" i="26"/>
  <c r="W14" i="26"/>
  <c r="AA28" i="26" l="1"/>
  <c r="W28" i="26"/>
  <c r="G21" i="26"/>
  <c r="K28" i="26"/>
  <c r="G14" i="26"/>
  <c r="G28" i="26" l="1"/>
  <c r="AA195" i="43"/>
  <c r="W195" i="43"/>
  <c r="S195" i="43"/>
  <c r="O195" i="43"/>
  <c r="K195" i="43"/>
  <c r="AA193" i="43"/>
  <c r="W193" i="43"/>
  <c r="S193" i="43"/>
  <c r="O193" i="43"/>
  <c r="K193" i="43"/>
  <c r="AA191" i="43"/>
  <c r="W191" i="43"/>
  <c r="S191" i="43"/>
  <c r="O191" i="43"/>
  <c r="K191" i="43"/>
  <c r="G196" i="43"/>
  <c r="Z196" i="43" s="1"/>
  <c r="AA196" i="43" s="1"/>
  <c r="G195" i="43" l="1"/>
  <c r="G191" i="43"/>
  <c r="G193" i="43"/>
  <c r="J196" i="43"/>
  <c r="K196" i="43" s="1"/>
  <c r="N196" i="43"/>
  <c r="O196" i="43" s="1"/>
  <c r="R196" i="43"/>
  <c r="S196" i="43" s="1"/>
  <c r="V196" i="43"/>
  <c r="W196" i="43" s="1"/>
  <c r="G190" i="43" l="1"/>
  <c r="J190" i="43" s="1"/>
  <c r="K190" i="43" s="1"/>
  <c r="G192" i="43"/>
  <c r="N192" i="43" s="1"/>
  <c r="O192" i="43" s="1"/>
  <c r="G194" i="43"/>
  <c r="Z194" i="43" s="1"/>
  <c r="AA194" i="43" s="1"/>
  <c r="AA7" i="43"/>
  <c r="AA8" i="43"/>
  <c r="AA9" i="43"/>
  <c r="AA10" i="43"/>
  <c r="AA11" i="43"/>
  <c r="AA12" i="43"/>
  <c r="AA13" i="43"/>
  <c r="AA14" i="43"/>
  <c r="AA15" i="43"/>
  <c r="AA16" i="43"/>
  <c r="AA17" i="43"/>
  <c r="AA18" i="43"/>
  <c r="AA19" i="43"/>
  <c r="AA20" i="43"/>
  <c r="AA21" i="43"/>
  <c r="AA22" i="43"/>
  <c r="AA23" i="43"/>
  <c r="AA24" i="43"/>
  <c r="AA25" i="43"/>
  <c r="AA26" i="43"/>
  <c r="AA27" i="43"/>
  <c r="AA28" i="43"/>
  <c r="AA29" i="43"/>
  <c r="AA30" i="43"/>
  <c r="AA31" i="43"/>
  <c r="AA32" i="43"/>
  <c r="AA33" i="43"/>
  <c r="AA34" i="43"/>
  <c r="AA35" i="43"/>
  <c r="AA36" i="43"/>
  <c r="AA37" i="43"/>
  <c r="AA38" i="43"/>
  <c r="AA39" i="43"/>
  <c r="AA40" i="43"/>
  <c r="AA41" i="43"/>
  <c r="AA42" i="43"/>
  <c r="AA43" i="43"/>
  <c r="AA44" i="43"/>
  <c r="AA45" i="43"/>
  <c r="AA46" i="43"/>
  <c r="AA47" i="43"/>
  <c r="AA48" i="43"/>
  <c r="AA49" i="43"/>
  <c r="AA50" i="43"/>
  <c r="AA51" i="43"/>
  <c r="AA52" i="43"/>
  <c r="AA53" i="43"/>
  <c r="AA54" i="43"/>
  <c r="AA55" i="43"/>
  <c r="AA56" i="43"/>
  <c r="AA57" i="43"/>
  <c r="AA58" i="43"/>
  <c r="AA59" i="43"/>
  <c r="AA60" i="43"/>
  <c r="AA61" i="43"/>
  <c r="AA62" i="43"/>
  <c r="AA63" i="43"/>
  <c r="AA64" i="43"/>
  <c r="AA65" i="43"/>
  <c r="AA66" i="43"/>
  <c r="AA67" i="43"/>
  <c r="AA68" i="43"/>
  <c r="AA69" i="43"/>
  <c r="AA70" i="43"/>
  <c r="AA71" i="43"/>
  <c r="AA72" i="43"/>
  <c r="AA73" i="43"/>
  <c r="AA74" i="43"/>
  <c r="AA75" i="43"/>
  <c r="AA76" i="43"/>
  <c r="AA77" i="43"/>
  <c r="AA78" i="43"/>
  <c r="AA79" i="43"/>
  <c r="AA80" i="43"/>
  <c r="AA81" i="43"/>
  <c r="AA82" i="43"/>
  <c r="AA83" i="43"/>
  <c r="AA84" i="43"/>
  <c r="AA85" i="43"/>
  <c r="AA86" i="43"/>
  <c r="AA87" i="43"/>
  <c r="AA88" i="43"/>
  <c r="AA89" i="43"/>
  <c r="AA90" i="43"/>
  <c r="AA91" i="43"/>
  <c r="AA92" i="43"/>
  <c r="AA93" i="43"/>
  <c r="AA94" i="43"/>
  <c r="AA95" i="43"/>
  <c r="AA96" i="43"/>
  <c r="AA97" i="43"/>
  <c r="AA98" i="43"/>
  <c r="AA99" i="43"/>
  <c r="AA100" i="43"/>
  <c r="AA101" i="43"/>
  <c r="AA102" i="43"/>
  <c r="AA103" i="43"/>
  <c r="AA104" i="43"/>
  <c r="AA105" i="43"/>
  <c r="AA106" i="43"/>
  <c r="AA107" i="43"/>
  <c r="AA108" i="43"/>
  <c r="AA109" i="43"/>
  <c r="AA110" i="43"/>
  <c r="AA111" i="43"/>
  <c r="AA112" i="43"/>
  <c r="AA113" i="43"/>
  <c r="AA114" i="43"/>
  <c r="AA115" i="43"/>
  <c r="AA116" i="43"/>
  <c r="AA117" i="43"/>
  <c r="AA118" i="43"/>
  <c r="AA119" i="43"/>
  <c r="AA120" i="43"/>
  <c r="AA121" i="43"/>
  <c r="AA122" i="43"/>
  <c r="AA123" i="43"/>
  <c r="AA124" i="43"/>
  <c r="AA125" i="43"/>
  <c r="AA126" i="43"/>
  <c r="AA127" i="43"/>
  <c r="AA128" i="43"/>
  <c r="AA129" i="43"/>
  <c r="AA130" i="43"/>
  <c r="AA131" i="43"/>
  <c r="AA132" i="43"/>
  <c r="AA133" i="43"/>
  <c r="AA134" i="43"/>
  <c r="AA135" i="43"/>
  <c r="AA136" i="43"/>
  <c r="AA137" i="43"/>
  <c r="AA138" i="43"/>
  <c r="AA139" i="43"/>
  <c r="AA140" i="43"/>
  <c r="AA141" i="43"/>
  <c r="AA142" i="43"/>
  <c r="AA143" i="43"/>
  <c r="AA144" i="43"/>
  <c r="AA145" i="43"/>
  <c r="AA146" i="43"/>
  <c r="AA147" i="43"/>
  <c r="AA148" i="43"/>
  <c r="AA149" i="43"/>
  <c r="AA150" i="43"/>
  <c r="AA151" i="43"/>
  <c r="AA152" i="43"/>
  <c r="AA153" i="43"/>
  <c r="AA154" i="43"/>
  <c r="AA155" i="43"/>
  <c r="AA156" i="43"/>
  <c r="AA157" i="43"/>
  <c r="AA158" i="43"/>
  <c r="AA159" i="43"/>
  <c r="AA160" i="43"/>
  <c r="AA161" i="43"/>
  <c r="AA162" i="43"/>
  <c r="AA163" i="43"/>
  <c r="AA164" i="43"/>
  <c r="AA165" i="43"/>
  <c r="AA166" i="43"/>
  <c r="AA167" i="43"/>
  <c r="AA168" i="43"/>
  <c r="AA169" i="43"/>
  <c r="AA170" i="43"/>
  <c r="AA171" i="43"/>
  <c r="AA172" i="43"/>
  <c r="AA173" i="43"/>
  <c r="AA174" i="43"/>
  <c r="AA175" i="43"/>
  <c r="AA176" i="43"/>
  <c r="AA177" i="43"/>
  <c r="AA178" i="43"/>
  <c r="AA179" i="43"/>
  <c r="AA180" i="43"/>
  <c r="AA181" i="43"/>
  <c r="AA182" i="43"/>
  <c r="AA183" i="43"/>
  <c r="AA184" i="43"/>
  <c r="AA185" i="43"/>
  <c r="AA186" i="43"/>
  <c r="AA187" i="43"/>
  <c r="AA188" i="43"/>
  <c r="AA189" i="43"/>
  <c r="W6" i="43"/>
  <c r="W7" i="43"/>
  <c r="W8" i="43"/>
  <c r="W9" i="43"/>
  <c r="W10" i="43"/>
  <c r="W11" i="43"/>
  <c r="W12" i="43"/>
  <c r="W13" i="43"/>
  <c r="W14" i="43"/>
  <c r="W15" i="43"/>
  <c r="W16" i="43"/>
  <c r="W17" i="43"/>
  <c r="W18" i="43"/>
  <c r="W19" i="43"/>
  <c r="W20" i="43"/>
  <c r="W21" i="43"/>
  <c r="W22" i="43"/>
  <c r="W23" i="43"/>
  <c r="W24" i="43"/>
  <c r="W25" i="43"/>
  <c r="W26" i="43"/>
  <c r="W27" i="43"/>
  <c r="W28" i="43"/>
  <c r="W29" i="43"/>
  <c r="W30" i="43"/>
  <c r="W31" i="43"/>
  <c r="W32" i="43"/>
  <c r="W33" i="43"/>
  <c r="W35" i="43"/>
  <c r="W36" i="43"/>
  <c r="W37" i="43"/>
  <c r="W38" i="43"/>
  <c r="W39" i="43"/>
  <c r="W40" i="43"/>
  <c r="W41" i="43"/>
  <c r="W42" i="43"/>
  <c r="W43" i="43"/>
  <c r="W44" i="43"/>
  <c r="W45" i="43"/>
  <c r="W46" i="43"/>
  <c r="W47" i="43"/>
  <c r="W48" i="43"/>
  <c r="W49" i="43"/>
  <c r="W50" i="43"/>
  <c r="W51" i="43"/>
  <c r="W52" i="43"/>
  <c r="W53" i="43"/>
  <c r="W54" i="43"/>
  <c r="W55" i="43"/>
  <c r="W56" i="43"/>
  <c r="W57" i="43"/>
  <c r="W58" i="43"/>
  <c r="W59" i="43"/>
  <c r="W60" i="43"/>
  <c r="W61" i="43"/>
  <c r="W62" i="43"/>
  <c r="W63" i="43"/>
  <c r="W64" i="43"/>
  <c r="W65" i="43"/>
  <c r="W66" i="43"/>
  <c r="W67" i="43"/>
  <c r="W68" i="43"/>
  <c r="W69" i="43"/>
  <c r="W70" i="43"/>
  <c r="W71" i="43"/>
  <c r="W72" i="43"/>
  <c r="W73" i="43"/>
  <c r="W74" i="43"/>
  <c r="W75" i="43"/>
  <c r="W76" i="43"/>
  <c r="W77" i="43"/>
  <c r="W78" i="43"/>
  <c r="W79" i="43"/>
  <c r="W80" i="43"/>
  <c r="W81" i="43"/>
  <c r="W82" i="43"/>
  <c r="W83" i="43"/>
  <c r="W84" i="43"/>
  <c r="W85" i="43"/>
  <c r="W86" i="43"/>
  <c r="W87" i="43"/>
  <c r="W88" i="43"/>
  <c r="W89" i="43"/>
  <c r="W90" i="43"/>
  <c r="W91" i="43"/>
  <c r="W92" i="43"/>
  <c r="W93" i="43"/>
  <c r="W94" i="43"/>
  <c r="W95" i="43"/>
  <c r="W96" i="43"/>
  <c r="W97" i="43"/>
  <c r="W98" i="43"/>
  <c r="W99" i="43"/>
  <c r="W100" i="43"/>
  <c r="W101" i="43"/>
  <c r="W102" i="43"/>
  <c r="W103" i="43"/>
  <c r="W104" i="43"/>
  <c r="W105" i="43"/>
  <c r="W106" i="43"/>
  <c r="W107" i="43"/>
  <c r="W108" i="43"/>
  <c r="W109" i="43"/>
  <c r="W110" i="43"/>
  <c r="W111" i="43"/>
  <c r="W112" i="43"/>
  <c r="W113" i="43"/>
  <c r="W114" i="43"/>
  <c r="W115" i="43"/>
  <c r="W116" i="43"/>
  <c r="W117" i="43"/>
  <c r="W118" i="43"/>
  <c r="W119" i="43"/>
  <c r="W120" i="43"/>
  <c r="W121" i="43"/>
  <c r="W122" i="43"/>
  <c r="W123" i="43"/>
  <c r="W124" i="43"/>
  <c r="W125" i="43"/>
  <c r="W126" i="43"/>
  <c r="W127" i="43"/>
  <c r="W128" i="43"/>
  <c r="W129" i="43"/>
  <c r="W130" i="43"/>
  <c r="W131" i="43"/>
  <c r="W132" i="43"/>
  <c r="W133" i="43"/>
  <c r="W134" i="43"/>
  <c r="W135" i="43"/>
  <c r="W136" i="43"/>
  <c r="W137" i="43"/>
  <c r="W138" i="43"/>
  <c r="W139" i="43"/>
  <c r="W140" i="43"/>
  <c r="W141" i="43"/>
  <c r="W142" i="43"/>
  <c r="W143" i="43"/>
  <c r="W144" i="43"/>
  <c r="W145" i="43"/>
  <c r="W146" i="43"/>
  <c r="W147" i="43"/>
  <c r="W148" i="43"/>
  <c r="W149" i="43"/>
  <c r="W150" i="43"/>
  <c r="W151" i="43"/>
  <c r="W152" i="43"/>
  <c r="W153" i="43"/>
  <c r="W154" i="43"/>
  <c r="W155" i="43"/>
  <c r="W156" i="43"/>
  <c r="W157" i="43"/>
  <c r="W158" i="43"/>
  <c r="W159" i="43"/>
  <c r="W160" i="43"/>
  <c r="W161" i="43"/>
  <c r="W162" i="43"/>
  <c r="W163" i="43"/>
  <c r="W164" i="43"/>
  <c r="W165" i="43"/>
  <c r="W166" i="43"/>
  <c r="W167" i="43"/>
  <c r="W168" i="43"/>
  <c r="W169" i="43"/>
  <c r="W170" i="43"/>
  <c r="W171" i="43"/>
  <c r="W172" i="43"/>
  <c r="W173" i="43"/>
  <c r="W174" i="43"/>
  <c r="W175" i="43"/>
  <c r="W176" i="43"/>
  <c r="W177" i="43"/>
  <c r="W178" i="43"/>
  <c r="W179" i="43"/>
  <c r="W180" i="43"/>
  <c r="W181" i="43"/>
  <c r="W182" i="43"/>
  <c r="W183" i="43"/>
  <c r="W184" i="43"/>
  <c r="W185" i="43"/>
  <c r="W186" i="43"/>
  <c r="W187" i="43"/>
  <c r="W188" i="43"/>
  <c r="W189" i="43"/>
  <c r="S7" i="43"/>
  <c r="S8" i="43"/>
  <c r="S9" i="43"/>
  <c r="S10" i="43"/>
  <c r="S11" i="43"/>
  <c r="S12" i="43"/>
  <c r="S13" i="43"/>
  <c r="S14" i="43"/>
  <c r="S15" i="43"/>
  <c r="S16" i="43"/>
  <c r="S17" i="43"/>
  <c r="S18" i="43"/>
  <c r="S19" i="43"/>
  <c r="S20" i="43"/>
  <c r="S21" i="43"/>
  <c r="S22" i="43"/>
  <c r="S23" i="43"/>
  <c r="S24" i="43"/>
  <c r="S25" i="43"/>
  <c r="S26" i="43"/>
  <c r="S27" i="43"/>
  <c r="S28" i="43"/>
  <c r="S29" i="43"/>
  <c r="S30" i="43"/>
  <c r="S31" i="43"/>
  <c r="S32" i="43"/>
  <c r="S33" i="43"/>
  <c r="S35" i="43"/>
  <c r="S36" i="43"/>
  <c r="S37" i="43"/>
  <c r="S38" i="43"/>
  <c r="S39" i="43"/>
  <c r="S40" i="43"/>
  <c r="S41" i="43"/>
  <c r="S42" i="43"/>
  <c r="S43" i="43"/>
  <c r="S44" i="43"/>
  <c r="S45" i="43"/>
  <c r="S46" i="43"/>
  <c r="S47" i="43"/>
  <c r="S48" i="43"/>
  <c r="S49" i="43"/>
  <c r="S50" i="43"/>
  <c r="S51" i="43"/>
  <c r="S52" i="43"/>
  <c r="S53" i="43"/>
  <c r="S54" i="43"/>
  <c r="S55" i="43"/>
  <c r="S56" i="43"/>
  <c r="S57" i="43"/>
  <c r="S58" i="43"/>
  <c r="S59" i="43"/>
  <c r="S60" i="43"/>
  <c r="S61" i="43"/>
  <c r="S62" i="43"/>
  <c r="S63" i="43"/>
  <c r="S64" i="43"/>
  <c r="S65" i="43"/>
  <c r="S66" i="43"/>
  <c r="S67" i="43"/>
  <c r="S68" i="43"/>
  <c r="S69" i="43"/>
  <c r="S70" i="43"/>
  <c r="S71" i="43"/>
  <c r="S72" i="43"/>
  <c r="S73" i="43"/>
  <c r="S74" i="43"/>
  <c r="S75" i="43"/>
  <c r="S76" i="43"/>
  <c r="S77" i="43"/>
  <c r="S78" i="43"/>
  <c r="S79" i="43"/>
  <c r="S80" i="43"/>
  <c r="S81" i="43"/>
  <c r="S82" i="43"/>
  <c r="S83" i="43"/>
  <c r="S84" i="43"/>
  <c r="S85" i="43"/>
  <c r="S86" i="43"/>
  <c r="S87" i="43"/>
  <c r="S88" i="43"/>
  <c r="S89" i="43"/>
  <c r="S90" i="43"/>
  <c r="S91" i="43"/>
  <c r="S92" i="43"/>
  <c r="S93" i="43"/>
  <c r="S94" i="43"/>
  <c r="S95" i="43"/>
  <c r="S96" i="43"/>
  <c r="S97" i="43"/>
  <c r="S98" i="43"/>
  <c r="S99" i="43"/>
  <c r="S100" i="43"/>
  <c r="S101" i="43"/>
  <c r="S102" i="43"/>
  <c r="S103" i="43"/>
  <c r="S104" i="43"/>
  <c r="S105" i="43"/>
  <c r="S106" i="43"/>
  <c r="S107" i="43"/>
  <c r="S108" i="43"/>
  <c r="S109" i="43"/>
  <c r="S110" i="43"/>
  <c r="S111" i="43"/>
  <c r="S112" i="43"/>
  <c r="S113" i="43"/>
  <c r="S114" i="43"/>
  <c r="S115" i="43"/>
  <c r="S116" i="43"/>
  <c r="S117" i="43"/>
  <c r="S118" i="43"/>
  <c r="S119" i="43"/>
  <c r="S120" i="43"/>
  <c r="S121" i="43"/>
  <c r="S122" i="43"/>
  <c r="S123" i="43"/>
  <c r="S124" i="43"/>
  <c r="S125" i="43"/>
  <c r="S126" i="43"/>
  <c r="S127" i="43"/>
  <c r="S128" i="43"/>
  <c r="S129" i="43"/>
  <c r="S130" i="43"/>
  <c r="S131" i="43"/>
  <c r="S132" i="43"/>
  <c r="S133" i="43"/>
  <c r="S134" i="43"/>
  <c r="S135" i="43"/>
  <c r="S136" i="43"/>
  <c r="S137" i="43"/>
  <c r="S138" i="43"/>
  <c r="S139" i="43"/>
  <c r="S140" i="43"/>
  <c r="S141" i="43"/>
  <c r="S142" i="43"/>
  <c r="S143" i="43"/>
  <c r="S144" i="43"/>
  <c r="S145" i="43"/>
  <c r="S146" i="43"/>
  <c r="S147" i="43"/>
  <c r="S148" i="43"/>
  <c r="S149" i="43"/>
  <c r="S150" i="43"/>
  <c r="S151" i="43"/>
  <c r="S152" i="43"/>
  <c r="S153" i="43"/>
  <c r="S154" i="43"/>
  <c r="S155" i="43"/>
  <c r="S156" i="43"/>
  <c r="S157" i="43"/>
  <c r="S158" i="43"/>
  <c r="S159" i="43"/>
  <c r="S160" i="43"/>
  <c r="S161" i="43"/>
  <c r="S162" i="43"/>
  <c r="S163" i="43"/>
  <c r="S164" i="43"/>
  <c r="S165" i="43"/>
  <c r="S166" i="43"/>
  <c r="S167" i="43"/>
  <c r="S168" i="43"/>
  <c r="S169" i="43"/>
  <c r="S170" i="43"/>
  <c r="S171" i="43"/>
  <c r="S172" i="43"/>
  <c r="S173" i="43"/>
  <c r="S174" i="43"/>
  <c r="S175" i="43"/>
  <c r="S176" i="43"/>
  <c r="S177" i="43"/>
  <c r="S178" i="43"/>
  <c r="S179" i="43"/>
  <c r="S180" i="43"/>
  <c r="S181" i="43"/>
  <c r="S182" i="43"/>
  <c r="S183" i="43"/>
  <c r="S184" i="43"/>
  <c r="S185" i="43"/>
  <c r="S186" i="43"/>
  <c r="S187" i="43"/>
  <c r="S188" i="43"/>
  <c r="S189" i="43"/>
  <c r="O6" i="43"/>
  <c r="O7" i="43"/>
  <c r="O8" i="43"/>
  <c r="O9" i="43"/>
  <c r="O10" i="43"/>
  <c r="O11" i="43"/>
  <c r="O12" i="43"/>
  <c r="O13" i="43"/>
  <c r="O14" i="43"/>
  <c r="O15" i="43"/>
  <c r="O16" i="43"/>
  <c r="O17" i="43"/>
  <c r="O18" i="43"/>
  <c r="O19" i="43"/>
  <c r="O20" i="43"/>
  <c r="O21" i="43"/>
  <c r="O22" i="43"/>
  <c r="O23" i="43"/>
  <c r="O24" i="43"/>
  <c r="O25" i="43"/>
  <c r="O26" i="43"/>
  <c r="O27" i="43"/>
  <c r="O28" i="43"/>
  <c r="O29" i="43"/>
  <c r="O30" i="43"/>
  <c r="O31" i="43"/>
  <c r="O32" i="43"/>
  <c r="O33" i="43"/>
  <c r="O34" i="43"/>
  <c r="O35" i="43"/>
  <c r="O36" i="43"/>
  <c r="O37" i="43"/>
  <c r="O38" i="43"/>
  <c r="O39" i="43"/>
  <c r="O40" i="43"/>
  <c r="O41" i="43"/>
  <c r="O42" i="43"/>
  <c r="O43" i="43"/>
  <c r="O44" i="43"/>
  <c r="O45" i="43"/>
  <c r="O46" i="43"/>
  <c r="O47" i="43"/>
  <c r="O48" i="43"/>
  <c r="O49" i="43"/>
  <c r="O50" i="43"/>
  <c r="O51" i="43"/>
  <c r="O52" i="43"/>
  <c r="O53" i="43"/>
  <c r="O54" i="43"/>
  <c r="O55" i="43"/>
  <c r="O56" i="43"/>
  <c r="O57" i="43"/>
  <c r="O58" i="43"/>
  <c r="O59" i="43"/>
  <c r="O60" i="43"/>
  <c r="O61" i="43"/>
  <c r="O62" i="43"/>
  <c r="O63" i="43"/>
  <c r="O64" i="43"/>
  <c r="O65" i="43"/>
  <c r="O66" i="43"/>
  <c r="O67" i="43"/>
  <c r="O68" i="43"/>
  <c r="O69" i="43"/>
  <c r="O70" i="43"/>
  <c r="O71" i="43"/>
  <c r="O72" i="43"/>
  <c r="O73" i="43"/>
  <c r="O74" i="43"/>
  <c r="O75" i="43"/>
  <c r="O76" i="43"/>
  <c r="O77" i="43"/>
  <c r="O78" i="43"/>
  <c r="O79" i="43"/>
  <c r="O80" i="43"/>
  <c r="O81" i="43"/>
  <c r="O82" i="43"/>
  <c r="O83" i="43"/>
  <c r="O84" i="43"/>
  <c r="O85" i="43"/>
  <c r="O86" i="43"/>
  <c r="O87" i="43"/>
  <c r="O88" i="43"/>
  <c r="O89" i="43"/>
  <c r="O90" i="43"/>
  <c r="O91" i="43"/>
  <c r="O92" i="43"/>
  <c r="O93" i="43"/>
  <c r="O94" i="43"/>
  <c r="O95" i="43"/>
  <c r="O96" i="43"/>
  <c r="O97" i="43"/>
  <c r="O98" i="43"/>
  <c r="O99" i="43"/>
  <c r="O100" i="43"/>
  <c r="O101" i="43"/>
  <c r="O102" i="43"/>
  <c r="O103" i="43"/>
  <c r="O104" i="43"/>
  <c r="O105" i="43"/>
  <c r="O106" i="43"/>
  <c r="O107" i="43"/>
  <c r="O108" i="43"/>
  <c r="O109" i="43"/>
  <c r="O110" i="43"/>
  <c r="O111" i="43"/>
  <c r="O112" i="43"/>
  <c r="O113" i="43"/>
  <c r="O114" i="43"/>
  <c r="O115" i="43"/>
  <c r="O116" i="43"/>
  <c r="O117" i="43"/>
  <c r="O118" i="43"/>
  <c r="O119" i="43"/>
  <c r="O120" i="43"/>
  <c r="O121" i="43"/>
  <c r="O122" i="43"/>
  <c r="O123" i="43"/>
  <c r="O124" i="43"/>
  <c r="O125" i="43"/>
  <c r="O126" i="43"/>
  <c r="O127" i="43"/>
  <c r="O128" i="43"/>
  <c r="O129" i="43"/>
  <c r="O130" i="43"/>
  <c r="O131" i="43"/>
  <c r="O132" i="43"/>
  <c r="O133" i="43"/>
  <c r="O134" i="43"/>
  <c r="O135" i="43"/>
  <c r="O136" i="43"/>
  <c r="O137" i="43"/>
  <c r="O138" i="43"/>
  <c r="O139" i="43"/>
  <c r="O140" i="43"/>
  <c r="O141" i="43"/>
  <c r="O142" i="43"/>
  <c r="O143" i="43"/>
  <c r="O144" i="43"/>
  <c r="O145" i="43"/>
  <c r="O146" i="43"/>
  <c r="O147" i="43"/>
  <c r="O148" i="43"/>
  <c r="O149" i="43"/>
  <c r="O150" i="43"/>
  <c r="O151" i="43"/>
  <c r="O152" i="43"/>
  <c r="O153" i="43"/>
  <c r="O154" i="43"/>
  <c r="O155" i="43"/>
  <c r="O156" i="43"/>
  <c r="O157" i="43"/>
  <c r="O158" i="43"/>
  <c r="O159" i="43"/>
  <c r="O160" i="43"/>
  <c r="O161" i="43"/>
  <c r="O162" i="43"/>
  <c r="O163" i="43"/>
  <c r="O164" i="43"/>
  <c r="O165" i="43"/>
  <c r="O166" i="43"/>
  <c r="O167" i="43"/>
  <c r="O168" i="43"/>
  <c r="O169" i="43"/>
  <c r="O170" i="43"/>
  <c r="O171" i="43"/>
  <c r="O172" i="43"/>
  <c r="O173" i="43"/>
  <c r="O174" i="43"/>
  <c r="O175" i="43"/>
  <c r="O176" i="43"/>
  <c r="O177" i="43"/>
  <c r="O178" i="43"/>
  <c r="O179" i="43"/>
  <c r="O180" i="43"/>
  <c r="O181" i="43"/>
  <c r="O182" i="43"/>
  <c r="O183" i="43"/>
  <c r="O184" i="43"/>
  <c r="J194" i="43"/>
  <c r="K194" i="43" s="1"/>
  <c r="Z190" i="43"/>
  <c r="AA190" i="43" s="1"/>
  <c r="V190" i="43"/>
  <c r="W190" i="43" s="1"/>
  <c r="R190" i="43"/>
  <c r="S190" i="43" s="1"/>
  <c r="N190" i="43"/>
  <c r="O190" i="43" s="1"/>
  <c r="Z75" i="42"/>
  <c r="AA75" i="42" s="1"/>
  <c r="V75" i="42"/>
  <c r="W75" i="42" s="1"/>
  <c r="R75" i="42"/>
  <c r="S75" i="42" s="1"/>
  <c r="N75" i="42"/>
  <c r="O75" i="42" s="1"/>
  <c r="J75" i="42"/>
  <c r="K75" i="42" s="1"/>
  <c r="E75" i="42"/>
  <c r="Z74" i="42"/>
  <c r="AA74" i="42" s="1"/>
  <c r="V74" i="42"/>
  <c r="W74" i="42" s="1"/>
  <c r="R74" i="42"/>
  <c r="S74" i="42" s="1"/>
  <c r="N74" i="42"/>
  <c r="O74" i="42" s="1"/>
  <c r="J74" i="42"/>
  <c r="K74" i="42" s="1"/>
  <c r="E74" i="42"/>
  <c r="Z73" i="42"/>
  <c r="AA73" i="42" s="1"/>
  <c r="V73" i="42"/>
  <c r="W73" i="42" s="1"/>
  <c r="R73" i="42"/>
  <c r="S73" i="42" s="1"/>
  <c r="N73" i="42"/>
  <c r="O73" i="42" s="1"/>
  <c r="J73" i="42"/>
  <c r="K73" i="42" s="1"/>
  <c r="E73" i="42"/>
  <c r="AA71" i="42"/>
  <c r="W71" i="42"/>
  <c r="S71" i="42"/>
  <c r="O71" i="42"/>
  <c r="K71" i="42"/>
  <c r="Z70" i="42"/>
  <c r="AA70" i="42" s="1"/>
  <c r="V70" i="42"/>
  <c r="W70" i="42" s="1"/>
  <c r="R70" i="42"/>
  <c r="S70" i="42" s="1"/>
  <c r="O70" i="42"/>
  <c r="J70" i="42"/>
  <c r="K70" i="42" s="1"/>
  <c r="E70" i="42"/>
  <c r="Z69" i="42"/>
  <c r="AA69" i="42" s="1"/>
  <c r="V69" i="42"/>
  <c r="W69" i="42" s="1"/>
  <c r="R69" i="42"/>
  <c r="S69" i="42" s="1"/>
  <c r="O69" i="42"/>
  <c r="J69" i="42"/>
  <c r="K69" i="42" s="1"/>
  <c r="E69" i="42"/>
  <c r="Z68" i="42"/>
  <c r="AA68" i="42" s="1"/>
  <c r="V68" i="42"/>
  <c r="W68" i="42" s="1"/>
  <c r="R68" i="42"/>
  <c r="S68" i="42" s="1"/>
  <c r="O68" i="42"/>
  <c r="J68" i="42"/>
  <c r="K68" i="42" s="1"/>
  <c r="E68" i="42"/>
  <c r="Z67" i="42"/>
  <c r="AA67" i="42" s="1"/>
  <c r="V67" i="42"/>
  <c r="W67" i="42" s="1"/>
  <c r="R67" i="42"/>
  <c r="Q67" i="42"/>
  <c r="O67" i="42"/>
  <c r="J67" i="42"/>
  <c r="K67" i="42" s="1"/>
  <c r="V66" i="42"/>
  <c r="W66" i="42" s="1"/>
  <c r="R66" i="42"/>
  <c r="S66" i="42" s="1"/>
  <c r="O66" i="42"/>
  <c r="J66" i="42"/>
  <c r="K66" i="42" s="1"/>
  <c r="E66" i="42"/>
  <c r="V65" i="42"/>
  <c r="W65" i="42" s="1"/>
  <c r="R65" i="42"/>
  <c r="S65" i="42" s="1"/>
  <c r="O65" i="42"/>
  <c r="J65" i="42"/>
  <c r="K65" i="42" s="1"/>
  <c r="E65" i="42"/>
  <c r="Z64" i="42"/>
  <c r="AA64" i="42" s="1"/>
  <c r="V64" i="42"/>
  <c r="W64" i="42" s="1"/>
  <c r="R64" i="42"/>
  <c r="S64" i="42" s="1"/>
  <c r="O64" i="42"/>
  <c r="J64" i="42"/>
  <c r="K64" i="42" s="1"/>
  <c r="E64" i="42"/>
  <c r="Z63" i="42"/>
  <c r="Y63" i="42"/>
  <c r="V63" i="42"/>
  <c r="U63" i="42"/>
  <c r="R63" i="42"/>
  <c r="Q63" i="42"/>
  <c r="N63" i="42"/>
  <c r="O63" i="42" s="1"/>
  <c r="J63" i="42"/>
  <c r="I63" i="42"/>
  <c r="Z62" i="42"/>
  <c r="AA62" i="42" s="1"/>
  <c r="V62" i="42"/>
  <c r="W62" i="42" s="1"/>
  <c r="R62" i="42"/>
  <c r="S62" i="42" s="1"/>
  <c r="N62" i="42"/>
  <c r="O62" i="42" s="1"/>
  <c r="J62" i="42"/>
  <c r="K62" i="42" s="1"/>
  <c r="E62" i="42"/>
  <c r="AA60" i="42"/>
  <c r="W60" i="42"/>
  <c r="S60" i="42"/>
  <c r="O60" i="42"/>
  <c r="K60" i="42"/>
  <c r="AA59" i="42"/>
  <c r="W59" i="42"/>
  <c r="S59" i="42"/>
  <c r="O59" i="42"/>
  <c r="K59" i="42"/>
  <c r="AA58" i="42"/>
  <c r="W58" i="42"/>
  <c r="S58" i="42"/>
  <c r="O58" i="42"/>
  <c r="K58" i="42"/>
  <c r="Z57" i="42"/>
  <c r="AA57" i="42" s="1"/>
  <c r="V57" i="42"/>
  <c r="W57" i="42" s="1"/>
  <c r="S57" i="42"/>
  <c r="O57" i="42"/>
  <c r="K57" i="42"/>
  <c r="E57" i="42"/>
  <c r="AA56" i="42"/>
  <c r="W56" i="42"/>
  <c r="R56" i="42"/>
  <c r="S56" i="42" s="1"/>
  <c r="O56" i="42"/>
  <c r="K56" i="42"/>
  <c r="E56" i="42"/>
  <c r="Z55" i="42"/>
  <c r="AA55" i="42" s="1"/>
  <c r="V55" i="42"/>
  <c r="W55" i="42" s="1"/>
  <c r="S55" i="42"/>
  <c r="O55" i="42"/>
  <c r="K55" i="42"/>
  <c r="E55" i="42"/>
  <c r="AA54" i="42"/>
  <c r="W54" i="42"/>
  <c r="R54" i="42"/>
  <c r="S54" i="42" s="1"/>
  <c r="O54" i="42"/>
  <c r="K54" i="42"/>
  <c r="E54" i="42"/>
  <c r="AA53" i="42"/>
  <c r="W53" i="42"/>
  <c r="S53" i="42"/>
  <c r="N53" i="42"/>
  <c r="O53" i="42" s="1"/>
  <c r="K53" i="42"/>
  <c r="E53" i="42"/>
  <c r="AA52" i="42"/>
  <c r="W52" i="42"/>
  <c r="S52" i="42"/>
  <c r="N52" i="42"/>
  <c r="O52" i="42" s="1"/>
  <c r="K52" i="42"/>
  <c r="E52" i="42"/>
  <c r="AA51" i="42"/>
  <c r="V51" i="42"/>
  <c r="W51" i="42" s="1"/>
  <c r="S51" i="42"/>
  <c r="O51" i="42"/>
  <c r="K51" i="42"/>
  <c r="E51" i="42"/>
  <c r="AA50" i="42"/>
  <c r="V50" i="42"/>
  <c r="W50" i="42" s="1"/>
  <c r="S50" i="42"/>
  <c r="O50" i="42"/>
  <c r="K50" i="42"/>
  <c r="E50" i="42"/>
  <c r="AA49" i="42"/>
  <c r="V49" i="42"/>
  <c r="W49" i="42" s="1"/>
  <c r="S49" i="42"/>
  <c r="O49" i="42"/>
  <c r="K49" i="42"/>
  <c r="E49" i="42"/>
  <c r="Z48" i="42"/>
  <c r="AA48" i="42" s="1"/>
  <c r="W48" i="42"/>
  <c r="S48" i="42"/>
  <c r="O48" i="42"/>
  <c r="K48" i="42"/>
  <c r="E48" i="42"/>
  <c r="AA47" i="42"/>
  <c r="W47" i="42"/>
  <c r="R47" i="42"/>
  <c r="S47" i="42" s="1"/>
  <c r="O47" i="42"/>
  <c r="K47" i="42"/>
  <c r="E47" i="42"/>
  <c r="AA46" i="42"/>
  <c r="W46" i="42"/>
  <c r="R46" i="42"/>
  <c r="S46" i="42" s="1"/>
  <c r="O46" i="42"/>
  <c r="K46" i="42"/>
  <c r="E46" i="42"/>
  <c r="AA45" i="42"/>
  <c r="V45" i="42"/>
  <c r="W45" i="42" s="1"/>
  <c r="S45" i="42"/>
  <c r="O45" i="42"/>
  <c r="J45" i="42"/>
  <c r="K45" i="42" s="1"/>
  <c r="E45" i="42"/>
  <c r="AA44" i="42"/>
  <c r="V44" i="42"/>
  <c r="W44" i="42" s="1"/>
  <c r="S44" i="42"/>
  <c r="O44" i="42"/>
  <c r="K44" i="42"/>
  <c r="E44" i="42"/>
  <c r="AA43" i="42"/>
  <c r="V43" i="42"/>
  <c r="W43" i="42" s="1"/>
  <c r="S43" i="42"/>
  <c r="O43" i="42"/>
  <c r="J43" i="42"/>
  <c r="K43" i="42" s="1"/>
  <c r="E43" i="42"/>
  <c r="AA42" i="42"/>
  <c r="V42" i="42"/>
  <c r="W42" i="42" s="1"/>
  <c r="S42" i="42"/>
  <c r="O42" i="42"/>
  <c r="K42" i="42"/>
  <c r="E42" i="42"/>
  <c r="AA41" i="42"/>
  <c r="V41" i="42"/>
  <c r="W41" i="42" s="1"/>
  <c r="S41" i="42"/>
  <c r="O41" i="42"/>
  <c r="K41" i="42"/>
  <c r="E41" i="42"/>
  <c r="AA40" i="42"/>
  <c r="V40" i="42"/>
  <c r="W40" i="42" s="1"/>
  <c r="S40" i="42"/>
  <c r="O40" i="42"/>
  <c r="K40" i="42"/>
  <c r="E40" i="42"/>
  <c r="Z39" i="42"/>
  <c r="AA39" i="42" s="1"/>
  <c r="V39" i="42"/>
  <c r="W39" i="42" s="1"/>
  <c r="R39" i="42"/>
  <c r="S39" i="42" s="1"/>
  <c r="N39" i="42"/>
  <c r="O39" i="42" s="1"/>
  <c r="K39" i="42"/>
  <c r="E39" i="42"/>
  <c r="Z38" i="42"/>
  <c r="AA38" i="42" s="1"/>
  <c r="W38" i="42"/>
  <c r="R38" i="42"/>
  <c r="S38" i="42" s="1"/>
  <c r="N38" i="42"/>
  <c r="O38" i="42" s="1"/>
  <c r="J38" i="42"/>
  <c r="K38" i="42" s="1"/>
  <c r="E38" i="42"/>
  <c r="AA37" i="42"/>
  <c r="W37" i="42"/>
  <c r="R37" i="42"/>
  <c r="S37" i="42" s="1"/>
  <c r="O37" i="42"/>
  <c r="J37" i="42"/>
  <c r="K37" i="42" s="1"/>
  <c r="E37" i="42"/>
  <c r="AA36" i="42"/>
  <c r="V36" i="42"/>
  <c r="W36" i="42" s="1"/>
  <c r="R36" i="42"/>
  <c r="S36" i="42" s="1"/>
  <c r="N36" i="42"/>
  <c r="O36" i="42" s="1"/>
  <c r="J36" i="42"/>
  <c r="K36" i="42" s="1"/>
  <c r="E36" i="42"/>
  <c r="Z35" i="42"/>
  <c r="AA35" i="42" s="1"/>
  <c r="V35" i="42"/>
  <c r="W35" i="42" s="1"/>
  <c r="R35" i="42"/>
  <c r="S35" i="42" s="1"/>
  <c r="N35" i="42"/>
  <c r="O35" i="42" s="1"/>
  <c r="J35" i="42"/>
  <c r="K35" i="42" s="1"/>
  <c r="E35" i="42"/>
  <c r="AA33" i="42"/>
  <c r="W33" i="42"/>
  <c r="S33" i="42"/>
  <c r="O33" i="42"/>
  <c r="K33" i="42"/>
  <c r="Z32" i="42"/>
  <c r="AA32" i="42" s="1"/>
  <c r="W32" i="42"/>
  <c r="S32" i="42"/>
  <c r="O32" i="42"/>
  <c r="K32" i="42"/>
  <c r="E32" i="42"/>
  <c r="AA31" i="42"/>
  <c r="V31" i="42"/>
  <c r="W31" i="42" s="1"/>
  <c r="S31" i="42"/>
  <c r="O31" i="42"/>
  <c r="K31" i="42"/>
  <c r="E31" i="42"/>
  <c r="AA30" i="42"/>
  <c r="W30" i="42"/>
  <c r="R30" i="42"/>
  <c r="S30" i="42" s="1"/>
  <c r="O30" i="42"/>
  <c r="K30" i="42"/>
  <c r="E30" i="42"/>
  <c r="AA29" i="42"/>
  <c r="W29" i="42"/>
  <c r="S29" i="42"/>
  <c r="N29" i="42"/>
  <c r="O29" i="42" s="1"/>
  <c r="K29" i="42"/>
  <c r="E29" i="42"/>
  <c r="AA28" i="42"/>
  <c r="W28" i="42"/>
  <c r="S28" i="42"/>
  <c r="O28" i="42"/>
  <c r="J28" i="42"/>
  <c r="K28" i="42" s="1"/>
  <c r="E28" i="42"/>
  <c r="AA26" i="42"/>
  <c r="W26" i="42"/>
  <c r="S26" i="42"/>
  <c r="O26" i="42"/>
  <c r="K26" i="42"/>
  <c r="AA25" i="42"/>
  <c r="V25" i="42"/>
  <c r="W25" i="42" s="1"/>
  <c r="R25" i="42"/>
  <c r="S25" i="42" s="1"/>
  <c r="O25" i="42"/>
  <c r="K25" i="42"/>
  <c r="E25" i="42"/>
  <c r="AA24" i="42"/>
  <c r="W24" i="42"/>
  <c r="R24" i="42"/>
  <c r="S24" i="42" s="1"/>
  <c r="O24" i="42"/>
  <c r="K24" i="42"/>
  <c r="E24" i="42"/>
  <c r="AA23" i="42"/>
  <c r="W23" i="42"/>
  <c r="R23" i="42"/>
  <c r="S23" i="42" s="1"/>
  <c r="O23" i="42"/>
  <c r="K23" i="42"/>
  <c r="E23" i="42"/>
  <c r="AA22" i="42"/>
  <c r="V22" i="42"/>
  <c r="W22" i="42" s="1"/>
  <c r="R22" i="42"/>
  <c r="S22" i="42" s="1"/>
  <c r="O22" i="42"/>
  <c r="K22" i="42"/>
  <c r="E22" i="42"/>
  <c r="AA20" i="42"/>
  <c r="W20" i="42"/>
  <c r="S20" i="42"/>
  <c r="O20" i="42"/>
  <c r="K20" i="42"/>
  <c r="AA19" i="42"/>
  <c r="V19" i="42"/>
  <c r="W19" i="42" s="1"/>
  <c r="S19" i="42"/>
  <c r="O19" i="42"/>
  <c r="K19" i="42"/>
  <c r="E19" i="42"/>
  <c r="AA18" i="42"/>
  <c r="V18" i="42"/>
  <c r="W18" i="42" s="1"/>
  <c r="S18" i="42"/>
  <c r="O18" i="42"/>
  <c r="K18" i="42"/>
  <c r="E18" i="42"/>
  <c r="AA15" i="42"/>
  <c r="W15" i="42"/>
  <c r="S15" i="42"/>
  <c r="O15" i="42"/>
  <c r="K15" i="42"/>
  <c r="Z14" i="42"/>
  <c r="AA14" i="42" s="1"/>
  <c r="V14" i="42"/>
  <c r="W14" i="42" s="1"/>
  <c r="R14" i="42"/>
  <c r="S14" i="42" s="1"/>
  <c r="N14" i="42"/>
  <c r="O14" i="42" s="1"/>
  <c r="J14" i="42"/>
  <c r="K14" i="42" s="1"/>
  <c r="E14" i="42"/>
  <c r="AA13" i="42"/>
  <c r="W13" i="42"/>
  <c r="S13" i="42"/>
  <c r="O13" i="42"/>
  <c r="K13" i="42"/>
  <c r="Z10" i="42"/>
  <c r="AA10" i="42" s="1"/>
  <c r="W10" i="42"/>
  <c r="S10" i="42"/>
  <c r="O10" i="42"/>
  <c r="K10" i="42"/>
  <c r="E10" i="42"/>
  <c r="AA9" i="42"/>
  <c r="W9" i="42"/>
  <c r="S9" i="42"/>
  <c r="O9" i="42"/>
  <c r="J9" i="42"/>
  <c r="K9" i="42" s="1"/>
  <c r="E9" i="42"/>
  <c r="J192" i="43" l="1"/>
  <c r="K192" i="43" s="1"/>
  <c r="K63" i="42"/>
  <c r="S17" i="42"/>
  <c r="O17" i="42"/>
  <c r="O6" i="42"/>
  <c r="G41" i="42"/>
  <c r="G75" i="42"/>
  <c r="G9" i="42"/>
  <c r="S6" i="42"/>
  <c r="W63" i="42"/>
  <c r="W61" i="42" s="1"/>
  <c r="K17" i="42"/>
  <c r="W6" i="42"/>
  <c r="G32" i="42"/>
  <c r="G60" i="42"/>
  <c r="G40" i="42"/>
  <c r="G56" i="42"/>
  <c r="G52" i="42"/>
  <c r="G10" i="42"/>
  <c r="G58" i="42"/>
  <c r="O61" i="42"/>
  <c r="G54" i="42"/>
  <c r="AA21" i="42"/>
  <c r="K27" i="42"/>
  <c r="S67" i="42"/>
  <c r="G67" i="42" s="1"/>
  <c r="G49" i="42"/>
  <c r="AA12" i="42"/>
  <c r="N194" i="43"/>
  <c r="O194" i="43" s="1"/>
  <c r="G23" i="42"/>
  <c r="G53" i="42"/>
  <c r="G66" i="42"/>
  <c r="G71" i="42"/>
  <c r="G74" i="42"/>
  <c r="G46" i="42"/>
  <c r="S27" i="42"/>
  <c r="G42" i="42"/>
  <c r="G57" i="42"/>
  <c r="G18" i="42"/>
  <c r="G48" i="42"/>
  <c r="W27" i="42"/>
  <c r="G59" i="42"/>
  <c r="E63" i="42"/>
  <c r="G68" i="42"/>
  <c r="AA27" i="42"/>
  <c r="G44" i="42"/>
  <c r="E67" i="42"/>
  <c r="R194" i="43"/>
  <c r="S194" i="43" s="1"/>
  <c r="AA6" i="42"/>
  <c r="G24" i="42"/>
  <c r="G50" i="42"/>
  <c r="AA63" i="42"/>
  <c r="AA61" i="42" s="1"/>
  <c r="G65" i="42"/>
  <c r="G70" i="42"/>
  <c r="V194" i="43"/>
  <c r="W194" i="43" s="1"/>
  <c r="G55" i="42"/>
  <c r="Z192" i="43"/>
  <c r="AA192" i="43" s="1"/>
  <c r="O12" i="42"/>
  <c r="V192" i="43"/>
  <c r="W192" i="43" s="1"/>
  <c r="K21" i="42"/>
  <c r="S12" i="42"/>
  <c r="G31" i="42"/>
  <c r="G47" i="42"/>
  <c r="R192" i="43"/>
  <c r="S192" i="43" s="1"/>
  <c r="W12" i="42"/>
  <c r="O21" i="42"/>
  <c r="G30" i="42"/>
  <c r="G51" i="42"/>
  <c r="G35" i="42"/>
  <c r="O34" i="42"/>
  <c r="S34" i="42"/>
  <c r="W34" i="42"/>
  <c r="G39" i="42"/>
  <c r="G37" i="42"/>
  <c r="K34" i="42"/>
  <c r="G22" i="42"/>
  <c r="S21" i="42"/>
  <c r="K72" i="42"/>
  <c r="G73" i="42"/>
  <c r="G62" i="42"/>
  <c r="K61" i="42"/>
  <c r="AA34" i="42"/>
  <c r="O72" i="42"/>
  <c r="O27" i="42"/>
  <c r="G29" i="42"/>
  <c r="G45" i="42"/>
  <c r="S72" i="42"/>
  <c r="W21" i="42"/>
  <c r="G43" i="42"/>
  <c r="G38" i="42"/>
  <c r="W72" i="42"/>
  <c r="G14" i="42"/>
  <c r="G12" i="42" s="1"/>
  <c r="K12" i="42"/>
  <c r="W17" i="42"/>
  <c r="G19" i="42"/>
  <c r="G25" i="42"/>
  <c r="G36" i="42"/>
  <c r="G64" i="42"/>
  <c r="G69" i="42"/>
  <c r="AA72" i="42"/>
  <c r="S63" i="42"/>
  <c r="AA17" i="42"/>
  <c r="G28" i="42"/>
  <c r="K6" i="42"/>
  <c r="G6" i="42" l="1"/>
  <c r="G17" i="42"/>
  <c r="O16" i="42"/>
  <c r="K16" i="42"/>
  <c r="O83" i="42"/>
  <c r="O84" i="42" s="1"/>
  <c r="O85" i="42" s="1"/>
  <c r="AA16" i="42"/>
  <c r="AA83" i="42" s="1"/>
  <c r="AA84" i="42" s="1"/>
  <c r="AA85" i="42" s="1"/>
  <c r="G63" i="42"/>
  <c r="G61" i="42" s="1"/>
  <c r="G72" i="42"/>
  <c r="G27" i="42"/>
  <c r="K83" i="42"/>
  <c r="K84" i="42" s="1"/>
  <c r="K85" i="42" s="1"/>
  <c r="S16" i="42"/>
  <c r="W16" i="42"/>
  <c r="W83" i="42" s="1"/>
  <c r="W84" i="42" s="1"/>
  <c r="W85" i="42" s="1"/>
  <c r="G21" i="42"/>
  <c r="S61" i="42"/>
  <c r="G34" i="42"/>
  <c r="G16" i="42" l="1"/>
  <c r="S83" i="42"/>
  <c r="S84" i="42" s="1"/>
  <c r="S85" i="42" s="1"/>
  <c r="G83" i="42" l="1"/>
  <c r="G84" i="42" s="1"/>
  <c r="G85" i="42" s="1"/>
  <c r="AA39" i="41"/>
  <c r="S39" i="41"/>
  <c r="O39" i="41"/>
  <c r="K39" i="41"/>
  <c r="AA38" i="41"/>
  <c r="W38" i="41"/>
  <c r="S38" i="41"/>
  <c r="O38" i="41"/>
  <c r="K38" i="41"/>
  <c r="AA37" i="41"/>
  <c r="G37" i="41" s="1"/>
  <c r="AA36" i="41"/>
  <c r="G36" i="41" s="1"/>
  <c r="AA35" i="41"/>
  <c r="G35" i="41" s="1"/>
  <c r="AA34" i="41"/>
  <c r="W34" i="41"/>
  <c r="S34" i="41"/>
  <c r="O34" i="41"/>
  <c r="K34" i="41"/>
  <c r="AA33" i="41"/>
  <c r="W33" i="41"/>
  <c r="S33" i="41"/>
  <c r="AA32" i="41"/>
  <c r="W32" i="41"/>
  <c r="S32" i="41"/>
  <c r="AA31" i="41"/>
  <c r="W31" i="41"/>
  <c r="S31" i="41"/>
  <c r="AA30" i="41"/>
  <c r="W30" i="41"/>
  <c r="S30" i="41"/>
  <c r="O30" i="41"/>
  <c r="K30" i="41"/>
  <c r="AA29" i="41"/>
  <c r="G29" i="41" s="1"/>
  <c r="AA28" i="41"/>
  <c r="G28" i="41" s="1"/>
  <c r="AA27" i="41"/>
  <c r="G27" i="41" s="1"/>
  <c r="U27" i="41"/>
  <c r="Q27" i="41"/>
  <c r="AA26" i="41"/>
  <c r="W26" i="41"/>
  <c r="S26" i="41"/>
  <c r="O26" i="41"/>
  <c r="K26" i="41"/>
  <c r="AA25" i="41"/>
  <c r="W25" i="41"/>
  <c r="S25" i="41"/>
  <c r="K25" i="41"/>
  <c r="G25" i="41" s="1"/>
  <c r="AA24" i="41"/>
  <c r="W24" i="41"/>
  <c r="S24" i="41"/>
  <c r="K24" i="41"/>
  <c r="AA23" i="41"/>
  <c r="W23" i="41"/>
  <c r="S23" i="41"/>
  <c r="K23" i="41"/>
  <c r="AA22" i="41"/>
  <c r="W22" i="41"/>
  <c r="S22" i="41"/>
  <c r="O22" i="41"/>
  <c r="K22" i="41"/>
  <c r="AA21" i="41"/>
  <c r="W21" i="41"/>
  <c r="S21" i="41"/>
  <c r="K21" i="41"/>
  <c r="AA20" i="41"/>
  <c r="W20" i="41"/>
  <c r="S20" i="41"/>
  <c r="K20" i="41"/>
  <c r="AA19" i="41"/>
  <c r="W19" i="41"/>
  <c r="S19" i="41"/>
  <c r="K19" i="41"/>
  <c r="AA18" i="41"/>
  <c r="W18" i="41"/>
  <c r="S18" i="41"/>
  <c r="O18" i="41"/>
  <c r="K18" i="41"/>
  <c r="AA17" i="41"/>
  <c r="W17" i="41"/>
  <c r="S17" i="41"/>
  <c r="O17" i="41"/>
  <c r="K17" i="41"/>
  <c r="G17" i="41" s="1"/>
  <c r="AA16" i="41"/>
  <c r="S16" i="41"/>
  <c r="AA15" i="41"/>
  <c r="S15" i="41"/>
  <c r="AA14" i="41"/>
  <c r="S14" i="41"/>
  <c r="AA13" i="41"/>
  <c r="W13" i="41"/>
  <c r="S13" i="41"/>
  <c r="O13" i="41"/>
  <c r="K13" i="41"/>
  <c r="AA12" i="41"/>
  <c r="W12" i="41"/>
  <c r="S12" i="41"/>
  <c r="O12" i="41"/>
  <c r="K12" i="41"/>
  <c r="AA11" i="41"/>
  <c r="W11" i="41"/>
  <c r="S11" i="41"/>
  <c r="O11" i="41"/>
  <c r="K11" i="41"/>
  <c r="W10" i="41"/>
  <c r="S10" i="41"/>
  <c r="O10" i="41"/>
  <c r="K10" i="41"/>
  <c r="AA9" i="41"/>
  <c r="W9" i="41"/>
  <c r="S9" i="41"/>
  <c r="O9" i="41"/>
  <c r="AA8" i="41"/>
  <c r="W8" i="41"/>
  <c r="S8" i="41"/>
  <c r="O8" i="41"/>
  <c r="K8" i="41"/>
  <c r="AA7" i="41"/>
  <c r="W7" i="41"/>
  <c r="S7" i="41"/>
  <c r="O7" i="41"/>
  <c r="K7" i="41"/>
  <c r="AA6" i="41"/>
  <c r="W6" i="41"/>
  <c r="S6" i="41"/>
  <c r="O6" i="41"/>
  <c r="K6" i="41"/>
  <c r="G39" i="41" l="1"/>
  <c r="G14" i="41"/>
  <c r="G21" i="41"/>
  <c r="G23" i="41"/>
  <c r="G13" i="41"/>
  <c r="G34" i="41"/>
  <c r="G15" i="41"/>
  <c r="G9" i="41"/>
  <c r="G19" i="41"/>
  <c r="G31" i="41"/>
  <c r="G11" i="41"/>
  <c r="W44" i="41"/>
  <c r="S44" i="41"/>
  <c r="AA44" i="41"/>
  <c r="O44" i="41"/>
  <c r="G26" i="41"/>
  <c r="G38" i="41"/>
  <c r="K44" i="41"/>
  <c r="G22" i="41"/>
  <c r="G30" i="41"/>
  <c r="G32" i="41"/>
  <c r="G7" i="41"/>
  <c r="G24" i="41"/>
  <c r="G12" i="41"/>
  <c r="G16" i="41"/>
  <c r="G10" i="41"/>
  <c r="G6" i="41"/>
  <c r="G20" i="41"/>
  <c r="G18" i="41"/>
  <c r="G8" i="41"/>
  <c r="G33" i="41"/>
  <c r="G44" i="41" l="1"/>
  <c r="O189" i="43"/>
  <c r="K189" i="43"/>
  <c r="O188" i="43"/>
  <c r="K188" i="43"/>
  <c r="O185" i="43"/>
  <c r="K185" i="43"/>
  <c r="K184" i="43"/>
  <c r="G184" i="43" s="1"/>
  <c r="K183" i="43"/>
  <c r="G183" i="43" s="1"/>
  <c r="K182" i="43"/>
  <c r="G182" i="43" s="1"/>
  <c r="K181" i="43"/>
  <c r="G181" i="43" s="1"/>
  <c r="K180" i="43"/>
  <c r="G180" i="43" s="1"/>
  <c r="K179" i="43"/>
  <c r="G179" i="43" s="1"/>
  <c r="K178" i="43"/>
  <c r="G178" i="43" s="1"/>
  <c r="K177" i="43"/>
  <c r="G177" i="43" s="1"/>
  <c r="K176" i="43"/>
  <c r="G176" i="43" s="1"/>
  <c r="K175" i="43"/>
  <c r="G175" i="43" s="1"/>
  <c r="K174" i="43"/>
  <c r="G174" i="43" s="1"/>
  <c r="K173" i="43"/>
  <c r="G173" i="43" s="1"/>
  <c r="K172" i="43"/>
  <c r="G172" i="43" s="1"/>
  <c r="K171" i="43"/>
  <c r="G171" i="43" s="1"/>
  <c r="K170" i="43"/>
  <c r="G170" i="43" s="1"/>
  <c r="K169" i="43"/>
  <c r="G169" i="43" s="1"/>
  <c r="K168" i="43"/>
  <c r="G168" i="43" s="1"/>
  <c r="K167" i="43"/>
  <c r="G167" i="43" s="1"/>
  <c r="K166" i="43"/>
  <c r="G166" i="43" s="1"/>
  <c r="K165" i="43"/>
  <c r="G165" i="43" s="1"/>
  <c r="K164" i="43"/>
  <c r="G164" i="43" s="1"/>
  <c r="K163" i="43"/>
  <c r="G163" i="43" s="1"/>
  <c r="K162" i="43"/>
  <c r="G162" i="43" s="1"/>
  <c r="K161" i="43"/>
  <c r="G161" i="43" s="1"/>
  <c r="K160" i="43"/>
  <c r="G160" i="43" s="1"/>
  <c r="K159" i="43"/>
  <c r="G159" i="43" s="1"/>
  <c r="K158" i="43"/>
  <c r="G158" i="43" s="1"/>
  <c r="K157" i="43"/>
  <c r="G157" i="43" s="1"/>
  <c r="K156" i="43"/>
  <c r="G156" i="43" s="1"/>
  <c r="K155" i="43"/>
  <c r="G155" i="43" s="1"/>
  <c r="K154" i="43"/>
  <c r="G154" i="43" s="1"/>
  <c r="K153" i="43"/>
  <c r="G153" i="43" s="1"/>
  <c r="K152" i="43"/>
  <c r="G152" i="43" s="1"/>
  <c r="K151" i="43"/>
  <c r="G151" i="43" s="1"/>
  <c r="K150" i="43"/>
  <c r="G150" i="43" s="1"/>
  <c r="K149" i="43"/>
  <c r="G149" i="43" s="1"/>
  <c r="K148" i="43"/>
  <c r="G148" i="43" s="1"/>
  <c r="K147" i="43"/>
  <c r="G147" i="43" s="1"/>
  <c r="K146" i="43"/>
  <c r="G146" i="43" s="1"/>
  <c r="K145" i="43"/>
  <c r="G145" i="43" s="1"/>
  <c r="K144" i="43"/>
  <c r="G144" i="43" s="1"/>
  <c r="K143" i="43"/>
  <c r="G143" i="43" s="1"/>
  <c r="K142" i="43"/>
  <c r="G142" i="43" s="1"/>
  <c r="K141" i="43"/>
  <c r="G141" i="43" s="1"/>
  <c r="K140" i="43"/>
  <c r="G140" i="43" s="1"/>
  <c r="K139" i="43"/>
  <c r="G139" i="43" s="1"/>
  <c r="K138" i="43"/>
  <c r="G138" i="43" s="1"/>
  <c r="K137" i="43"/>
  <c r="G137" i="43" s="1"/>
  <c r="K136" i="43"/>
  <c r="G136" i="43" s="1"/>
  <c r="K135" i="43"/>
  <c r="G135" i="43" s="1"/>
  <c r="K134" i="43"/>
  <c r="G134" i="43" s="1"/>
  <c r="K133" i="43"/>
  <c r="G133" i="43" s="1"/>
  <c r="K132" i="43"/>
  <c r="G132" i="43" s="1"/>
  <c r="K131" i="43"/>
  <c r="G131" i="43" s="1"/>
  <c r="K130" i="43"/>
  <c r="G130" i="43" s="1"/>
  <c r="K129" i="43"/>
  <c r="G129" i="43" s="1"/>
  <c r="K128" i="43"/>
  <c r="G128" i="43" s="1"/>
  <c r="K127" i="43"/>
  <c r="G127" i="43" s="1"/>
  <c r="K126" i="43"/>
  <c r="G126" i="43" s="1"/>
  <c r="K125" i="43"/>
  <c r="G125" i="43" s="1"/>
  <c r="K124" i="43"/>
  <c r="G124" i="43" s="1"/>
  <c r="K123" i="43"/>
  <c r="G123" i="43" s="1"/>
  <c r="K122" i="43"/>
  <c r="G122" i="43" s="1"/>
  <c r="K121" i="43"/>
  <c r="G121" i="43" s="1"/>
  <c r="K120" i="43"/>
  <c r="G120" i="43" s="1"/>
  <c r="K119" i="43"/>
  <c r="G119" i="43" s="1"/>
  <c r="K118" i="43"/>
  <c r="G118" i="43" s="1"/>
  <c r="K117" i="43"/>
  <c r="G117" i="43" s="1"/>
  <c r="K116" i="43"/>
  <c r="G116" i="43" s="1"/>
  <c r="K115" i="43"/>
  <c r="G115" i="43" s="1"/>
  <c r="K114" i="43"/>
  <c r="G114" i="43" s="1"/>
  <c r="K113" i="43"/>
  <c r="G113" i="43" s="1"/>
  <c r="K112" i="43"/>
  <c r="G112" i="43" s="1"/>
  <c r="K111" i="43"/>
  <c r="G111" i="43" s="1"/>
  <c r="K110" i="43"/>
  <c r="G110" i="43" s="1"/>
  <c r="K109" i="43"/>
  <c r="G109" i="43" s="1"/>
  <c r="K108" i="43"/>
  <c r="G108" i="43" s="1"/>
  <c r="K107" i="43"/>
  <c r="G107" i="43" s="1"/>
  <c r="K106" i="43"/>
  <c r="G106" i="43" s="1"/>
  <c r="K105" i="43"/>
  <c r="G105" i="43" s="1"/>
  <c r="K104" i="43"/>
  <c r="G104" i="43" s="1"/>
  <c r="K103" i="43"/>
  <c r="G103" i="43" s="1"/>
  <c r="K102" i="43"/>
  <c r="G102" i="43" s="1"/>
  <c r="K101" i="43"/>
  <c r="G101" i="43" s="1"/>
  <c r="K100" i="43"/>
  <c r="G100" i="43" s="1"/>
  <c r="K99" i="43"/>
  <c r="G99" i="43" s="1"/>
  <c r="K98" i="43"/>
  <c r="G98" i="43" s="1"/>
  <c r="K97" i="43"/>
  <c r="G97" i="43" s="1"/>
  <c r="K96" i="43"/>
  <c r="G96" i="43" s="1"/>
  <c r="K95" i="43"/>
  <c r="G95" i="43" s="1"/>
  <c r="K94" i="43"/>
  <c r="G94" i="43" s="1"/>
  <c r="K93" i="43"/>
  <c r="G93" i="43" s="1"/>
  <c r="K92" i="43"/>
  <c r="G92" i="43" s="1"/>
  <c r="K91" i="43"/>
  <c r="G91" i="43" s="1"/>
  <c r="K90" i="43"/>
  <c r="G90" i="43" s="1"/>
  <c r="K89" i="43"/>
  <c r="G89" i="43" s="1"/>
  <c r="K88" i="43"/>
  <c r="G88" i="43" s="1"/>
  <c r="K87" i="43"/>
  <c r="G87" i="43" s="1"/>
  <c r="K86" i="43"/>
  <c r="G86" i="43" s="1"/>
  <c r="K85" i="43"/>
  <c r="G85" i="43" s="1"/>
  <c r="K84" i="43"/>
  <c r="G84" i="43" s="1"/>
  <c r="K83" i="43"/>
  <c r="G83" i="43" s="1"/>
  <c r="K82" i="43"/>
  <c r="G82" i="43" s="1"/>
  <c r="K81" i="43"/>
  <c r="G81" i="43" s="1"/>
  <c r="K80" i="43"/>
  <c r="G80" i="43" s="1"/>
  <c r="K79" i="43"/>
  <c r="G79" i="43" s="1"/>
  <c r="K78" i="43"/>
  <c r="G78" i="43" s="1"/>
  <c r="K77" i="43"/>
  <c r="G77" i="43" s="1"/>
  <c r="K76" i="43"/>
  <c r="G76" i="43" s="1"/>
  <c r="K75" i="43"/>
  <c r="G75" i="43" s="1"/>
  <c r="K74" i="43"/>
  <c r="G74" i="43" s="1"/>
  <c r="K73" i="43"/>
  <c r="G73" i="43" s="1"/>
  <c r="K72" i="43"/>
  <c r="G72" i="43" s="1"/>
  <c r="K71" i="43"/>
  <c r="G71" i="43" s="1"/>
  <c r="K70" i="43"/>
  <c r="G70" i="43" s="1"/>
  <c r="K69" i="43"/>
  <c r="G69" i="43" s="1"/>
  <c r="K68" i="43"/>
  <c r="G68" i="43" s="1"/>
  <c r="K67" i="43"/>
  <c r="G67" i="43" s="1"/>
  <c r="K66" i="43"/>
  <c r="G66" i="43" s="1"/>
  <c r="K65" i="43"/>
  <c r="G65" i="43" s="1"/>
  <c r="K64" i="43"/>
  <c r="G64" i="43" s="1"/>
  <c r="K63" i="43"/>
  <c r="G63" i="43" s="1"/>
  <c r="K62" i="43"/>
  <c r="G62" i="43" s="1"/>
  <c r="K61" i="43"/>
  <c r="G61" i="43" s="1"/>
  <c r="K60" i="43"/>
  <c r="G60" i="43" s="1"/>
  <c r="K59" i="43"/>
  <c r="G59" i="43" s="1"/>
  <c r="K58" i="43"/>
  <c r="G58" i="43" s="1"/>
  <c r="K57" i="43"/>
  <c r="G57" i="43" s="1"/>
  <c r="K56" i="43"/>
  <c r="G56" i="43" s="1"/>
  <c r="K55" i="43"/>
  <c r="G55" i="43" s="1"/>
  <c r="K54" i="43"/>
  <c r="G54" i="43" s="1"/>
  <c r="K53" i="43"/>
  <c r="G53" i="43" s="1"/>
  <c r="K52" i="43"/>
  <c r="G52" i="43" s="1"/>
  <c r="K51" i="43"/>
  <c r="G51" i="43" s="1"/>
  <c r="K50" i="43"/>
  <c r="G50" i="43" s="1"/>
  <c r="K49" i="43"/>
  <c r="G49" i="43" s="1"/>
  <c r="K48" i="43"/>
  <c r="G48" i="43" s="1"/>
  <c r="K47" i="43"/>
  <c r="G47" i="43" s="1"/>
  <c r="K46" i="43"/>
  <c r="G46" i="43" s="1"/>
  <c r="K45" i="43"/>
  <c r="G45" i="43" s="1"/>
  <c r="K44" i="43"/>
  <c r="G44" i="43" s="1"/>
  <c r="K43" i="43"/>
  <c r="G43" i="43" s="1"/>
  <c r="K42" i="43"/>
  <c r="G42" i="43" s="1"/>
  <c r="K41" i="43"/>
  <c r="G41" i="43" s="1"/>
  <c r="K40" i="43"/>
  <c r="G40" i="43" s="1"/>
  <c r="K39" i="43"/>
  <c r="G39" i="43" s="1"/>
  <c r="K38" i="43"/>
  <c r="G38" i="43" s="1"/>
  <c r="K37" i="43"/>
  <c r="G37" i="43" s="1"/>
  <c r="K36" i="43"/>
  <c r="G36" i="43" s="1"/>
  <c r="K35" i="43"/>
  <c r="G35" i="43" s="1"/>
  <c r="U34" i="43"/>
  <c r="W34" i="43" s="1"/>
  <c r="Q34" i="43"/>
  <c r="S34" i="43" s="1"/>
  <c r="K34" i="43"/>
  <c r="K33" i="43"/>
  <c r="G33" i="43" s="1"/>
  <c r="K32" i="43"/>
  <c r="G32" i="43" s="1"/>
  <c r="K31" i="43"/>
  <c r="G31" i="43" s="1"/>
  <c r="K30" i="43"/>
  <c r="G30" i="43" s="1"/>
  <c r="K29" i="43"/>
  <c r="G29" i="43" s="1"/>
  <c r="K28" i="43"/>
  <c r="G28" i="43" s="1"/>
  <c r="K27" i="43"/>
  <c r="G27" i="43" s="1"/>
  <c r="K26" i="43"/>
  <c r="G26" i="43" s="1"/>
  <c r="K25" i="43"/>
  <c r="G25" i="43" s="1"/>
  <c r="K24" i="43"/>
  <c r="G24" i="43" s="1"/>
  <c r="K23" i="43"/>
  <c r="G23" i="43" s="1"/>
  <c r="K22" i="43"/>
  <c r="G22" i="43" s="1"/>
  <c r="K21" i="43"/>
  <c r="G21" i="43" s="1"/>
  <c r="K20" i="43"/>
  <c r="G20" i="43" s="1"/>
  <c r="K19" i="43"/>
  <c r="G19" i="43" s="1"/>
  <c r="K18" i="43"/>
  <c r="G18" i="43" s="1"/>
  <c r="K17" i="43"/>
  <c r="G17" i="43" s="1"/>
  <c r="K16" i="43"/>
  <c r="G16" i="43" s="1"/>
  <c r="K15" i="43"/>
  <c r="G15" i="43" s="1"/>
  <c r="K14" i="43"/>
  <c r="G14" i="43" s="1"/>
  <c r="K13" i="43"/>
  <c r="G13" i="43" s="1"/>
  <c r="K12" i="43"/>
  <c r="G12" i="43" s="1"/>
  <c r="K11" i="43"/>
  <c r="G11" i="43" s="1"/>
  <c r="K10" i="43"/>
  <c r="G10" i="43" s="1"/>
  <c r="K9" i="43"/>
  <c r="G9" i="43" s="1"/>
  <c r="K8" i="43"/>
  <c r="G8" i="43" s="1"/>
  <c r="K7" i="43"/>
  <c r="AA6" i="43"/>
  <c r="AA200" i="43" s="1"/>
  <c r="S6" i="43"/>
  <c r="K6" i="43"/>
  <c r="G189" i="43" l="1"/>
  <c r="G185" i="43"/>
  <c r="G188" i="43"/>
  <c r="G34" i="43"/>
  <c r="G7" i="43"/>
  <c r="AA94" i="32" l="1"/>
  <c r="W94" i="32"/>
  <c r="S94" i="32"/>
  <c r="O94" i="32"/>
  <c r="K94" i="32"/>
  <c r="E94" i="32"/>
  <c r="AA93" i="32"/>
  <c r="W93" i="32"/>
  <c r="S93" i="32"/>
  <c r="O93" i="32"/>
  <c r="K93" i="32"/>
  <c r="AA92" i="32"/>
  <c r="W92" i="32"/>
  <c r="S92" i="32"/>
  <c r="O92" i="32"/>
  <c r="K92" i="32"/>
  <c r="E92" i="32"/>
  <c r="E87" i="32"/>
  <c r="AA86" i="32"/>
  <c r="W86" i="32"/>
  <c r="S86" i="32"/>
  <c r="O86" i="32"/>
  <c r="K86" i="32"/>
  <c r="E86" i="32"/>
  <c r="AA85" i="32"/>
  <c r="W85" i="32"/>
  <c r="S85" i="32"/>
  <c r="O85" i="32"/>
  <c r="K85" i="32"/>
  <c r="AA84" i="32"/>
  <c r="W84" i="32"/>
  <c r="S84" i="32"/>
  <c r="O84" i="32"/>
  <c r="K84" i="32"/>
  <c r="K79" i="32"/>
  <c r="G79" i="32" s="1"/>
  <c r="E77" i="32"/>
  <c r="AA76" i="32"/>
  <c r="W76" i="32"/>
  <c r="S76" i="32"/>
  <c r="O76" i="32"/>
  <c r="K76" i="32"/>
  <c r="AA75" i="32"/>
  <c r="W75" i="32"/>
  <c r="S75" i="32"/>
  <c r="O75" i="32"/>
  <c r="K75" i="32"/>
  <c r="AA74" i="32"/>
  <c r="W74" i="32"/>
  <c r="S74" i="32"/>
  <c r="O74" i="32"/>
  <c r="K74" i="32"/>
  <c r="S68" i="32"/>
  <c r="G68" i="32" s="1"/>
  <c r="AA67" i="32"/>
  <c r="W67" i="32"/>
  <c r="S67" i="32"/>
  <c r="O67" i="32"/>
  <c r="K67" i="32"/>
  <c r="E67" i="32"/>
  <c r="AA66" i="32"/>
  <c r="W66" i="32"/>
  <c r="S66" i="32"/>
  <c r="O66" i="32"/>
  <c r="K66" i="32"/>
  <c r="AA65" i="32"/>
  <c r="W65" i="32"/>
  <c r="S65" i="32"/>
  <c r="O65" i="32"/>
  <c r="K65" i="32"/>
  <c r="E65" i="32"/>
  <c r="AA64" i="32"/>
  <c r="W64" i="32"/>
  <c r="S64" i="32"/>
  <c r="O64" i="32"/>
  <c r="K64" i="32"/>
  <c r="E64" i="32"/>
  <c r="AA63" i="32"/>
  <c r="W63" i="32"/>
  <c r="S63" i="32"/>
  <c r="O63" i="32"/>
  <c r="K63" i="32"/>
  <c r="E63" i="32"/>
  <c r="V56" i="32"/>
  <c r="W56" i="32" s="1"/>
  <c r="R56" i="32"/>
  <c r="S56" i="32" s="1"/>
  <c r="N56" i="32"/>
  <c r="O56" i="32" s="1"/>
  <c r="AA55" i="32"/>
  <c r="W55" i="32"/>
  <c r="S55" i="32"/>
  <c r="O55" i="32"/>
  <c r="K55" i="32"/>
  <c r="E55" i="32"/>
  <c r="AA54" i="32"/>
  <c r="W54" i="32"/>
  <c r="S54" i="32"/>
  <c r="O54" i="32"/>
  <c r="K54" i="32"/>
  <c r="AA53" i="32"/>
  <c r="W53" i="32"/>
  <c r="S53" i="32"/>
  <c r="O53" i="32"/>
  <c r="K53" i="32"/>
  <c r="E53" i="32"/>
  <c r="AA51" i="32"/>
  <c r="W51" i="32"/>
  <c r="S51" i="32"/>
  <c r="O51" i="32"/>
  <c r="K51" i="32"/>
  <c r="E51" i="32"/>
  <c r="AA50" i="32"/>
  <c r="W50" i="32"/>
  <c r="S50" i="32"/>
  <c r="O50" i="32"/>
  <c r="K50" i="32"/>
  <c r="E50" i="32"/>
  <c r="AA49" i="32"/>
  <c r="W49" i="32"/>
  <c r="S49" i="32"/>
  <c r="O49" i="32"/>
  <c r="K49" i="32"/>
  <c r="E49" i="32"/>
  <c r="AA42" i="32"/>
  <c r="W42" i="32"/>
  <c r="S42" i="32"/>
  <c r="O42" i="32"/>
  <c r="K42" i="32"/>
  <c r="AA41" i="32"/>
  <c r="W41" i="32"/>
  <c r="S41" i="32"/>
  <c r="O41" i="32"/>
  <c r="K41" i="32"/>
  <c r="AA40" i="32"/>
  <c r="W40" i="32"/>
  <c r="S40" i="32"/>
  <c r="O40" i="32"/>
  <c r="K40" i="32"/>
  <c r="E40" i="32"/>
  <c r="AA39" i="32"/>
  <c r="W39" i="32"/>
  <c r="S39" i="32"/>
  <c r="O39" i="32"/>
  <c r="K39" i="32"/>
  <c r="E39" i="32"/>
  <c r="AA38" i="32"/>
  <c r="W38" i="32"/>
  <c r="S38" i="32"/>
  <c r="O38" i="32"/>
  <c r="K38" i="32"/>
  <c r="AA37" i="32"/>
  <c r="W37" i="32"/>
  <c r="S37" i="32"/>
  <c r="O37" i="32"/>
  <c r="K37" i="32"/>
  <c r="E37" i="32"/>
  <c r="G36" i="32"/>
  <c r="E36" i="32"/>
  <c r="W35" i="32"/>
  <c r="G35" i="32" s="1"/>
  <c r="W34" i="32"/>
  <c r="G34" i="32" s="1"/>
  <c r="F34" i="32"/>
  <c r="W33" i="32"/>
  <c r="G33" i="32" s="1"/>
  <c r="W32" i="32"/>
  <c r="S32" i="32"/>
  <c r="AA31" i="32"/>
  <c r="W31" i="32"/>
  <c r="S31" i="32"/>
  <c r="O31" i="32"/>
  <c r="K31" i="32"/>
  <c r="E31" i="32"/>
  <c r="AA30" i="32"/>
  <c r="W30" i="32"/>
  <c r="S30" i="32"/>
  <c r="O30" i="32"/>
  <c r="K30" i="32"/>
  <c r="AA29" i="32"/>
  <c r="W29" i="32"/>
  <c r="S29" i="32"/>
  <c r="O29" i="32"/>
  <c r="K29" i="32"/>
  <c r="E29" i="32"/>
  <c r="AA28" i="32"/>
  <c r="W28" i="32"/>
  <c r="S28" i="32"/>
  <c r="O28" i="32"/>
  <c r="K28" i="32"/>
  <c r="E28" i="32"/>
  <c r="AA27" i="32"/>
  <c r="W27" i="32"/>
  <c r="S27" i="32"/>
  <c r="O27" i="32"/>
  <c r="K27" i="32"/>
  <c r="E27" i="32"/>
  <c r="AA26" i="32"/>
  <c r="W26" i="32"/>
  <c r="S26" i="32"/>
  <c r="O26" i="32"/>
  <c r="E26" i="32"/>
  <c r="AA25" i="32"/>
  <c r="W25" i="32"/>
  <c r="S25" i="32"/>
  <c r="O25" i="32"/>
  <c r="K25" i="32"/>
  <c r="E25" i="32"/>
  <c r="AA24" i="32"/>
  <c r="W24" i="32"/>
  <c r="S24" i="32"/>
  <c r="O24" i="32"/>
  <c r="K24" i="32"/>
  <c r="E24" i="32"/>
  <c r="AA23" i="32"/>
  <c r="W23" i="32"/>
  <c r="S23" i="32"/>
  <c r="O23" i="32"/>
  <c r="K23" i="32"/>
  <c r="E23" i="32"/>
  <c r="AA22" i="32"/>
  <c r="W22" i="32"/>
  <c r="S22" i="32"/>
  <c r="O22" i="32"/>
  <c r="K22" i="32"/>
  <c r="E22" i="32"/>
  <c r="AA21" i="32"/>
  <c r="W21" i="32"/>
  <c r="S21" i="32"/>
  <c r="O21" i="32"/>
  <c r="K21" i="32"/>
  <c r="E21" i="32"/>
  <c r="AA20" i="32"/>
  <c r="W20" i="32"/>
  <c r="S20" i="32"/>
  <c r="O20" i="32"/>
  <c r="K20" i="32"/>
  <c r="AA19" i="32"/>
  <c r="W19" i="32"/>
  <c r="S19" i="32"/>
  <c r="O19" i="32"/>
  <c r="K19" i="32"/>
  <c r="E19" i="32"/>
  <c r="AA12" i="32"/>
  <c r="W12" i="32"/>
  <c r="S12" i="32"/>
  <c r="O12" i="32"/>
  <c r="K12" i="32"/>
  <c r="E12" i="32"/>
  <c r="AA11" i="32"/>
  <c r="W11" i="32"/>
  <c r="S11" i="32"/>
  <c r="O11" i="32"/>
  <c r="K11" i="32"/>
  <c r="AA10" i="32"/>
  <c r="W10" i="32"/>
  <c r="S10" i="32"/>
  <c r="O10" i="32"/>
  <c r="K10" i="32"/>
  <c r="E10" i="32"/>
  <c r="AA9" i="32"/>
  <c r="W9" i="32"/>
  <c r="S9" i="32"/>
  <c r="O9" i="32"/>
  <c r="K9" i="32"/>
  <c r="E9" i="32"/>
  <c r="AA8" i="32"/>
  <c r="W8" i="32"/>
  <c r="S8" i="32"/>
  <c r="O8" i="32"/>
  <c r="K8" i="32"/>
  <c r="E8" i="32"/>
  <c r="AA7" i="32"/>
  <c r="W7" i="32"/>
  <c r="S7" i="32"/>
  <c r="O7" i="32"/>
  <c r="K7" i="32"/>
  <c r="G31" i="32" l="1"/>
  <c r="G32" i="32"/>
  <c r="G25" i="32"/>
  <c r="G29" i="32"/>
  <c r="S71" i="32"/>
  <c r="G94" i="32"/>
  <c r="G24" i="32"/>
  <c r="W81" i="32"/>
  <c r="AA81" i="32"/>
  <c r="G22" i="32"/>
  <c r="G28" i="32"/>
  <c r="G12" i="32"/>
  <c r="G38" i="32"/>
  <c r="K71" i="32"/>
  <c r="G10" i="32"/>
  <c r="G8" i="32"/>
  <c r="G53" i="32"/>
  <c r="G66" i="32"/>
  <c r="G92" i="32"/>
  <c r="G40" i="32"/>
  <c r="O71" i="32"/>
  <c r="G50" i="32"/>
  <c r="G23" i="32"/>
  <c r="G27" i="32"/>
  <c r="G56" i="32"/>
  <c r="O14" i="32"/>
  <c r="S14" i="32"/>
  <c r="K59" i="32"/>
  <c r="G51" i="32"/>
  <c r="G41" i="32"/>
  <c r="G75" i="32"/>
  <c r="G55" i="32"/>
  <c r="G39" i="32"/>
  <c r="O81" i="32"/>
  <c r="G20" i="32"/>
  <c r="G67" i="32"/>
  <c r="S81" i="32"/>
  <c r="G93" i="32"/>
  <c r="G86" i="32"/>
  <c r="G19" i="32"/>
  <c r="W89" i="32"/>
  <c r="S59" i="32"/>
  <c r="G54" i="32"/>
  <c r="AA89" i="32"/>
  <c r="G37" i="32"/>
  <c r="W59" i="32"/>
  <c r="W71" i="32"/>
  <c r="G76" i="32"/>
  <c r="K89" i="32"/>
  <c r="AA59" i="32"/>
  <c r="O89" i="32"/>
  <c r="W44" i="32"/>
  <c r="G26" i="32"/>
  <c r="G64" i="32"/>
  <c r="G74" i="32"/>
  <c r="O97" i="32"/>
  <c r="W14" i="32"/>
  <c r="K14" i="32"/>
  <c r="AA44" i="32"/>
  <c r="G63" i="32"/>
  <c r="S97" i="32"/>
  <c r="AA14" i="32"/>
  <c r="O44" i="32"/>
  <c r="G9" i="32"/>
  <c r="G11" i="32"/>
  <c r="G30" i="32"/>
  <c r="G42" i="32"/>
  <c r="G65" i="32"/>
  <c r="W97" i="32"/>
  <c r="S44" i="32"/>
  <c r="G21" i="32"/>
  <c r="O59" i="32"/>
  <c r="AA97" i="32"/>
  <c r="G85" i="32"/>
  <c r="K81" i="32"/>
  <c r="AA71" i="32"/>
  <c r="G7" i="32"/>
  <c r="G49" i="32"/>
  <c r="S89" i="32"/>
  <c r="K97" i="32"/>
  <c r="K44" i="32"/>
  <c r="G84" i="32"/>
  <c r="G81" i="32" l="1"/>
  <c r="S101" i="32"/>
  <c r="O101" i="32"/>
  <c r="G14" i="32"/>
  <c r="K101" i="32"/>
  <c r="G44" i="32"/>
  <c r="AA101" i="32"/>
  <c r="G59" i="32"/>
  <c r="W101" i="32"/>
  <c r="G71" i="32"/>
  <c r="G89" i="32"/>
  <c r="G97" i="32"/>
  <c r="R13" i="27" l="1"/>
  <c r="R14" i="27"/>
  <c r="R15" i="27"/>
  <c r="R16" i="27"/>
  <c r="R17" i="27"/>
  <c r="R18" i="27"/>
  <c r="R53" i="23" l="1"/>
  <c r="S53" i="23" s="1"/>
  <c r="Z52" i="23"/>
  <c r="AA52" i="23" s="1"/>
  <c r="V52" i="23"/>
  <c r="W52" i="23" s="1"/>
  <c r="R52" i="23"/>
  <c r="S52" i="23" s="1"/>
  <c r="N52" i="23"/>
  <c r="O52" i="23" s="1"/>
  <c r="J52" i="23"/>
  <c r="K52" i="23" s="1"/>
  <c r="Z51" i="23"/>
  <c r="AA51" i="23" s="1"/>
  <c r="V51" i="23"/>
  <c r="W51" i="23" s="1"/>
  <c r="R51" i="23"/>
  <c r="S51" i="23" s="1"/>
  <c r="N51" i="23"/>
  <c r="O51" i="23" s="1"/>
  <c r="J51" i="23"/>
  <c r="K51" i="23" s="1"/>
  <c r="Z50" i="23"/>
  <c r="AA50" i="23" s="1"/>
  <c r="V50" i="23"/>
  <c r="W50" i="23" s="1"/>
  <c r="R50" i="23"/>
  <c r="S50" i="23" s="1"/>
  <c r="N50" i="23"/>
  <c r="O50" i="23" s="1"/>
  <c r="J50" i="23"/>
  <c r="K50" i="23" s="1"/>
  <c r="Z49" i="23"/>
  <c r="AA49" i="23" s="1"/>
  <c r="V49" i="23"/>
  <c r="W49" i="23" s="1"/>
  <c r="R49" i="23"/>
  <c r="S49" i="23" s="1"/>
  <c r="N49" i="23"/>
  <c r="O49" i="23" s="1"/>
  <c r="J49" i="23"/>
  <c r="K49" i="23" s="1"/>
  <c r="Z48" i="23"/>
  <c r="AA48" i="23" s="1"/>
  <c r="V48" i="23"/>
  <c r="W48" i="23" s="1"/>
  <c r="R48" i="23"/>
  <c r="S48" i="23" s="1"/>
  <c r="N48" i="23"/>
  <c r="O48" i="23" s="1"/>
  <c r="J48" i="23"/>
  <c r="K48" i="23" s="1"/>
  <c r="Z47" i="23"/>
  <c r="AA47" i="23" s="1"/>
  <c r="V47" i="23"/>
  <c r="W47" i="23" s="1"/>
  <c r="R47" i="23"/>
  <c r="S47" i="23" s="1"/>
  <c r="N47" i="23"/>
  <c r="O47" i="23" s="1"/>
  <c r="J47" i="23"/>
  <c r="K47" i="23" s="1"/>
  <c r="Z46" i="23"/>
  <c r="AA46" i="23" s="1"/>
  <c r="V46" i="23"/>
  <c r="W46" i="23" s="1"/>
  <c r="R46" i="23"/>
  <c r="S46" i="23" s="1"/>
  <c r="N46" i="23"/>
  <c r="O46" i="23" s="1"/>
  <c r="J46" i="23"/>
  <c r="K46" i="23" s="1"/>
  <c r="Z45" i="23"/>
  <c r="AA45" i="23" s="1"/>
  <c r="V45" i="23"/>
  <c r="W45" i="23" s="1"/>
  <c r="R45" i="23"/>
  <c r="S45" i="23" s="1"/>
  <c r="N45" i="23"/>
  <c r="O45" i="23" s="1"/>
  <c r="J45" i="23"/>
  <c r="K45" i="23" s="1"/>
  <c r="Z44" i="23"/>
  <c r="AA44" i="23" s="1"/>
  <c r="V44" i="23"/>
  <c r="W44" i="23" s="1"/>
  <c r="R44" i="23"/>
  <c r="S44" i="23" s="1"/>
  <c r="N44" i="23"/>
  <c r="O44" i="23" s="1"/>
  <c r="J44" i="23"/>
  <c r="K44" i="23" s="1"/>
  <c r="Z38" i="23"/>
  <c r="AA38" i="23" s="1"/>
  <c r="V38" i="23"/>
  <c r="W38" i="23" s="1"/>
  <c r="R38" i="23"/>
  <c r="S38" i="23" s="1"/>
  <c r="N38" i="23"/>
  <c r="O38" i="23" s="1"/>
  <c r="J38" i="23"/>
  <c r="K38" i="23" s="1"/>
  <c r="Z37" i="23"/>
  <c r="AA37" i="23" s="1"/>
  <c r="V37" i="23"/>
  <c r="W37" i="23" s="1"/>
  <c r="R37" i="23"/>
  <c r="S37" i="23" s="1"/>
  <c r="N37" i="23"/>
  <c r="O37" i="23" s="1"/>
  <c r="J37" i="23"/>
  <c r="K37" i="23" s="1"/>
  <c r="Z36" i="23"/>
  <c r="AA36" i="23" s="1"/>
  <c r="V36" i="23"/>
  <c r="W36" i="23" s="1"/>
  <c r="R36" i="23"/>
  <c r="S36" i="23" s="1"/>
  <c r="N36" i="23"/>
  <c r="O36" i="23" s="1"/>
  <c r="J36" i="23"/>
  <c r="K36" i="23" s="1"/>
  <c r="Z35" i="23"/>
  <c r="AA35" i="23" s="1"/>
  <c r="V35" i="23"/>
  <c r="W35" i="23" s="1"/>
  <c r="R35" i="23"/>
  <c r="S35" i="23" s="1"/>
  <c r="N35" i="23"/>
  <c r="O35" i="23" s="1"/>
  <c r="J35" i="23"/>
  <c r="K35" i="23" s="1"/>
  <c r="Z34" i="23"/>
  <c r="AA34" i="23" s="1"/>
  <c r="V34" i="23"/>
  <c r="W34" i="23" s="1"/>
  <c r="R34" i="23"/>
  <c r="S34" i="23" s="1"/>
  <c r="N34" i="23"/>
  <c r="O34" i="23" s="1"/>
  <c r="J34" i="23"/>
  <c r="K34" i="23" s="1"/>
  <c r="Z33" i="23"/>
  <c r="AA33" i="23" s="1"/>
  <c r="V33" i="23"/>
  <c r="W33" i="23" s="1"/>
  <c r="R33" i="23"/>
  <c r="S33" i="23" s="1"/>
  <c r="N33" i="23"/>
  <c r="O33" i="23" s="1"/>
  <c r="J33" i="23"/>
  <c r="K33" i="23" s="1"/>
  <c r="Z27" i="23"/>
  <c r="AA27" i="23" s="1"/>
  <c r="V27" i="23"/>
  <c r="W27" i="23" s="1"/>
  <c r="R27" i="23"/>
  <c r="S27" i="23" s="1"/>
  <c r="N27" i="23"/>
  <c r="O27" i="23" s="1"/>
  <c r="J27" i="23"/>
  <c r="K27" i="23" s="1"/>
  <c r="Z26" i="23"/>
  <c r="AA26" i="23" s="1"/>
  <c r="V26" i="23"/>
  <c r="W26" i="23" s="1"/>
  <c r="R26" i="23"/>
  <c r="S26" i="23" s="1"/>
  <c r="N26" i="23"/>
  <c r="O26" i="23" s="1"/>
  <c r="J26" i="23"/>
  <c r="K26" i="23" s="1"/>
  <c r="Z25" i="23"/>
  <c r="AA25" i="23" s="1"/>
  <c r="V25" i="23"/>
  <c r="W25" i="23" s="1"/>
  <c r="R25" i="23"/>
  <c r="S25" i="23" s="1"/>
  <c r="N25" i="23"/>
  <c r="O25" i="23" s="1"/>
  <c r="J25" i="23"/>
  <c r="K25" i="23" s="1"/>
  <c r="Z24" i="23"/>
  <c r="AA24" i="23" s="1"/>
  <c r="V24" i="23"/>
  <c r="W24" i="23" s="1"/>
  <c r="R24" i="23"/>
  <c r="S24" i="23" s="1"/>
  <c r="N24" i="23"/>
  <c r="O24" i="23" s="1"/>
  <c r="J24" i="23"/>
  <c r="K24" i="23" s="1"/>
  <c r="Z23" i="23"/>
  <c r="AA23" i="23" s="1"/>
  <c r="V23" i="23"/>
  <c r="W23" i="23" s="1"/>
  <c r="R23" i="23"/>
  <c r="S23" i="23" s="1"/>
  <c r="N23" i="23"/>
  <c r="O23" i="23" s="1"/>
  <c r="J23" i="23"/>
  <c r="K23" i="23" s="1"/>
  <c r="Z22" i="23"/>
  <c r="AA22" i="23" s="1"/>
  <c r="V22" i="23"/>
  <c r="W22" i="23" s="1"/>
  <c r="R22" i="23"/>
  <c r="S22" i="23" s="1"/>
  <c r="N22" i="23"/>
  <c r="O22" i="23" s="1"/>
  <c r="J22" i="23"/>
  <c r="K22" i="23" s="1"/>
  <c r="Z21" i="23"/>
  <c r="AA21" i="23" s="1"/>
  <c r="V21" i="23"/>
  <c r="W21" i="23" s="1"/>
  <c r="R21" i="23"/>
  <c r="S21" i="23" s="1"/>
  <c r="N21" i="23"/>
  <c r="O21" i="23" s="1"/>
  <c r="J21" i="23"/>
  <c r="K21" i="23" s="1"/>
  <c r="Z20" i="23"/>
  <c r="AA20" i="23" s="1"/>
  <c r="V20" i="23"/>
  <c r="W20" i="23" s="1"/>
  <c r="R20" i="23"/>
  <c r="S20" i="23" s="1"/>
  <c r="N20" i="23"/>
  <c r="O20" i="23" s="1"/>
  <c r="J20" i="23"/>
  <c r="K20" i="23" s="1"/>
  <c r="Z19" i="23"/>
  <c r="AA19" i="23" s="1"/>
  <c r="V19" i="23"/>
  <c r="W19" i="23" s="1"/>
  <c r="R19" i="23"/>
  <c r="S19" i="23" s="1"/>
  <c r="N19" i="23"/>
  <c r="O19" i="23" s="1"/>
  <c r="J19" i="23"/>
  <c r="K19" i="23" s="1"/>
  <c r="Z18" i="23"/>
  <c r="AA18" i="23" s="1"/>
  <c r="V18" i="23"/>
  <c r="W18" i="23" s="1"/>
  <c r="R18" i="23"/>
  <c r="S18" i="23" s="1"/>
  <c r="N18" i="23"/>
  <c r="O18" i="23" s="1"/>
  <c r="J18" i="23"/>
  <c r="K18" i="23" s="1"/>
  <c r="Z17" i="23"/>
  <c r="AA17" i="23" s="1"/>
  <c r="V17" i="23"/>
  <c r="W17" i="23" s="1"/>
  <c r="R17" i="23"/>
  <c r="S17" i="23" s="1"/>
  <c r="N17" i="23"/>
  <c r="O17" i="23" s="1"/>
  <c r="J17" i="23"/>
  <c r="K17" i="23" s="1"/>
  <c r="Z16" i="23"/>
  <c r="AA16" i="23" s="1"/>
  <c r="V16" i="23"/>
  <c r="W16" i="23" s="1"/>
  <c r="R16" i="23"/>
  <c r="S16" i="23" s="1"/>
  <c r="N16" i="23"/>
  <c r="O16" i="23" s="1"/>
  <c r="J16" i="23"/>
  <c r="K16" i="23" s="1"/>
  <c r="Z15" i="23"/>
  <c r="AA15" i="23" s="1"/>
  <c r="V15" i="23"/>
  <c r="W15" i="23" s="1"/>
  <c r="R15" i="23"/>
  <c r="S15" i="23" s="1"/>
  <c r="N15" i="23"/>
  <c r="O15" i="23" s="1"/>
  <c r="J15" i="23"/>
  <c r="K15" i="23" s="1"/>
  <c r="Z14" i="23"/>
  <c r="AA14" i="23" s="1"/>
  <c r="V14" i="23"/>
  <c r="W14" i="23" s="1"/>
  <c r="R14" i="23"/>
  <c r="S14" i="23" s="1"/>
  <c r="N14" i="23"/>
  <c r="O14" i="23" s="1"/>
  <c r="J14" i="23"/>
  <c r="K14" i="23" s="1"/>
  <c r="Z13" i="23"/>
  <c r="AA13" i="23" s="1"/>
  <c r="V13" i="23"/>
  <c r="W13" i="23" s="1"/>
  <c r="R13" i="23"/>
  <c r="S13" i="23" s="1"/>
  <c r="N13" i="23"/>
  <c r="O13" i="23" s="1"/>
  <c r="J13" i="23"/>
  <c r="K13" i="23" s="1"/>
  <c r="Z12" i="23"/>
  <c r="AA12" i="23" s="1"/>
  <c r="V12" i="23"/>
  <c r="W12" i="23" s="1"/>
  <c r="R12" i="23"/>
  <c r="S12" i="23" s="1"/>
  <c r="N12" i="23"/>
  <c r="O12" i="23" s="1"/>
  <c r="J12" i="23"/>
  <c r="K12" i="23" s="1"/>
  <c r="Z7" i="23"/>
  <c r="AA7" i="23" s="1"/>
  <c r="AA9" i="23" s="1"/>
  <c r="V7" i="23"/>
  <c r="W7" i="23" s="1"/>
  <c r="W9" i="23" s="1"/>
  <c r="R7" i="23"/>
  <c r="S7" i="23" s="1"/>
  <c r="S9" i="23" s="1"/>
  <c r="N7" i="23"/>
  <c r="O7" i="23" s="1"/>
  <c r="O9" i="23" s="1"/>
  <c r="J7" i="23"/>
  <c r="K7" i="23" s="1"/>
  <c r="G22" i="23" l="1"/>
  <c r="G25" i="23"/>
  <c r="G47" i="23"/>
  <c r="G27" i="23"/>
  <c r="G20" i="23"/>
  <c r="G45" i="23"/>
  <c r="G14" i="23"/>
  <c r="G36" i="23"/>
  <c r="G52" i="23"/>
  <c r="G24" i="23"/>
  <c r="G35" i="23"/>
  <c r="G48" i="23"/>
  <c r="G37" i="23"/>
  <c r="G26" i="23"/>
  <c r="G23" i="23"/>
  <c r="AA40" i="23"/>
  <c r="G38" i="23"/>
  <c r="G34" i="23"/>
  <c r="G46" i="23"/>
  <c r="G50" i="23"/>
  <c r="G16" i="23"/>
  <c r="G18" i="23"/>
  <c r="O29" i="23"/>
  <c r="G12" i="23"/>
  <c r="K29" i="23"/>
  <c r="AA29" i="23"/>
  <c r="K40" i="23"/>
  <c r="O54" i="23"/>
  <c r="O40" i="23"/>
  <c r="S54" i="23"/>
  <c r="S29" i="23"/>
  <c r="W29" i="23"/>
  <c r="K9" i="23"/>
  <c r="G7" i="23"/>
  <c r="G13" i="23"/>
  <c r="G17" i="23"/>
  <c r="S40" i="23"/>
  <c r="W54" i="23"/>
  <c r="K54" i="23"/>
  <c r="G15" i="23"/>
  <c r="G19" i="23"/>
  <c r="G21" i="23"/>
  <c r="W40" i="23"/>
  <c r="AA54" i="23"/>
  <c r="G49" i="23"/>
  <c r="G51" i="23"/>
  <c r="G33" i="23"/>
  <c r="G44" i="23"/>
  <c r="W58" i="23" l="1"/>
  <c r="S58" i="23"/>
  <c r="O58" i="23"/>
  <c r="AA58" i="23"/>
  <c r="G9" i="23"/>
  <c r="K58" i="23"/>
  <c r="G40" i="23"/>
  <c r="G29" i="23"/>
  <c r="G54" i="23"/>
  <c r="Z30" i="20" l="1"/>
  <c r="AA30" i="20" s="1"/>
  <c r="V30" i="20"/>
  <c r="W30" i="20" s="1"/>
  <c r="R30" i="20"/>
  <c r="S30" i="20" s="1"/>
  <c r="N30" i="20"/>
  <c r="O30" i="20" s="1"/>
  <c r="J30" i="20"/>
  <c r="K30" i="20" s="1"/>
  <c r="E30" i="20"/>
  <c r="G30" i="20" s="1"/>
  <c r="Z29" i="20"/>
  <c r="AA29" i="20" s="1"/>
  <c r="V29" i="20"/>
  <c r="W29" i="20" s="1"/>
  <c r="R29" i="20"/>
  <c r="S29" i="20" s="1"/>
  <c r="N29" i="20"/>
  <c r="O29" i="20" s="1"/>
  <c r="J29" i="20"/>
  <c r="K29" i="20" s="1"/>
  <c r="E29" i="20"/>
  <c r="G29" i="20" s="1"/>
  <c r="Z28" i="20"/>
  <c r="AA28" i="20" s="1"/>
  <c r="V28" i="20"/>
  <c r="W28" i="20" s="1"/>
  <c r="R28" i="20"/>
  <c r="S28" i="20" s="1"/>
  <c r="N28" i="20"/>
  <c r="O28" i="20" s="1"/>
  <c r="J28" i="20"/>
  <c r="K28" i="20" s="1"/>
  <c r="E28" i="20"/>
  <c r="G28" i="20" s="1"/>
  <c r="Z27" i="20"/>
  <c r="AA27" i="20" s="1"/>
  <c r="V27" i="20"/>
  <c r="W27" i="20" s="1"/>
  <c r="R27" i="20"/>
  <c r="S27" i="20" s="1"/>
  <c r="N27" i="20"/>
  <c r="O27" i="20" s="1"/>
  <c r="J27" i="20"/>
  <c r="K27" i="20" s="1"/>
  <c r="E27" i="20"/>
  <c r="G27" i="20" s="1"/>
  <c r="Z26" i="20"/>
  <c r="AA26" i="20" s="1"/>
  <c r="V26" i="20"/>
  <c r="W26" i="20" s="1"/>
  <c r="R26" i="20"/>
  <c r="S26" i="20" s="1"/>
  <c r="N26" i="20"/>
  <c r="O26" i="20" s="1"/>
  <c r="J26" i="20"/>
  <c r="K26" i="20" s="1"/>
  <c r="E26" i="20"/>
  <c r="G26" i="20" s="1"/>
  <c r="Z25" i="20"/>
  <c r="AA25" i="20" s="1"/>
  <c r="V25" i="20"/>
  <c r="W25" i="20" s="1"/>
  <c r="R25" i="20"/>
  <c r="S25" i="20" s="1"/>
  <c r="N25" i="20"/>
  <c r="O25" i="20" s="1"/>
  <c r="J25" i="20"/>
  <c r="K25" i="20" s="1"/>
  <c r="E25" i="20"/>
  <c r="G25" i="20" s="1"/>
  <c r="Z19" i="20"/>
  <c r="AA19" i="20" s="1"/>
  <c r="V19" i="20"/>
  <c r="W19" i="20" s="1"/>
  <c r="R19" i="20"/>
  <c r="S19" i="20" s="1"/>
  <c r="N19" i="20"/>
  <c r="O19" i="20" s="1"/>
  <c r="J19" i="20"/>
  <c r="K19" i="20" s="1"/>
  <c r="E19" i="20"/>
  <c r="G19" i="20" s="1"/>
  <c r="Z18" i="20"/>
  <c r="AA18" i="20" s="1"/>
  <c r="V18" i="20"/>
  <c r="W18" i="20" s="1"/>
  <c r="R18" i="20"/>
  <c r="S18" i="20" s="1"/>
  <c r="N18" i="20"/>
  <c r="O18" i="20" s="1"/>
  <c r="J18" i="20"/>
  <c r="K18" i="20" s="1"/>
  <c r="E18" i="20"/>
  <c r="G18" i="20" s="1"/>
  <c r="Z17" i="20"/>
  <c r="AA17" i="20" s="1"/>
  <c r="V17" i="20"/>
  <c r="W17" i="20" s="1"/>
  <c r="R17" i="20"/>
  <c r="S17" i="20" s="1"/>
  <c r="N17" i="20"/>
  <c r="O17" i="20" s="1"/>
  <c r="J17" i="20"/>
  <c r="K17" i="20" s="1"/>
  <c r="E17" i="20"/>
  <c r="G17" i="20" s="1"/>
  <c r="Z16" i="20"/>
  <c r="AA16" i="20" s="1"/>
  <c r="V16" i="20"/>
  <c r="W16" i="20" s="1"/>
  <c r="R16" i="20"/>
  <c r="S16" i="20" s="1"/>
  <c r="N16" i="20"/>
  <c r="O16" i="20" s="1"/>
  <c r="J16" i="20"/>
  <c r="K16" i="20" s="1"/>
  <c r="E16" i="20"/>
  <c r="G16" i="20" s="1"/>
  <c r="Z15" i="20"/>
  <c r="AA15" i="20" s="1"/>
  <c r="V15" i="20"/>
  <c r="W15" i="20" s="1"/>
  <c r="R15" i="20"/>
  <c r="S15" i="20" s="1"/>
  <c r="N15" i="20"/>
  <c r="O15" i="20" s="1"/>
  <c r="J15" i="20"/>
  <c r="K15" i="20" s="1"/>
  <c r="E15" i="20"/>
  <c r="G15" i="20" s="1"/>
  <c r="Z14" i="20"/>
  <c r="AA14" i="20" s="1"/>
  <c r="V14" i="20"/>
  <c r="W14" i="20" s="1"/>
  <c r="R14" i="20"/>
  <c r="S14" i="20" s="1"/>
  <c r="N14" i="20"/>
  <c r="O14" i="20" s="1"/>
  <c r="J14" i="20"/>
  <c r="K14" i="20" s="1"/>
  <c r="E14" i="20"/>
  <c r="G14" i="20" s="1"/>
  <c r="F8" i="20"/>
  <c r="N8" i="20" s="1"/>
  <c r="O8" i="20" s="1"/>
  <c r="E8" i="20"/>
  <c r="Z7" i="20"/>
  <c r="AA7" i="20" s="1"/>
  <c r="V7" i="20"/>
  <c r="W7" i="20" s="1"/>
  <c r="R7" i="20"/>
  <c r="S7" i="20" s="1"/>
  <c r="N7" i="20"/>
  <c r="O7" i="20" s="1"/>
  <c r="J7" i="20"/>
  <c r="K7" i="20" s="1"/>
  <c r="E7" i="20"/>
  <c r="G7" i="20" s="1"/>
  <c r="O32" i="20" l="1"/>
  <c r="G32" i="20"/>
  <c r="S32" i="20"/>
  <c r="W32" i="20"/>
  <c r="AA21" i="20"/>
  <c r="R8" i="20"/>
  <c r="S8" i="20" s="1"/>
  <c r="S10" i="20" s="1"/>
  <c r="W21" i="20"/>
  <c r="V8" i="20"/>
  <c r="W8" i="20" s="1"/>
  <c r="Z8" i="20"/>
  <c r="AA8" i="20" s="1"/>
  <c r="AA10" i="20" s="1"/>
  <c r="G21" i="20"/>
  <c r="O10" i="20"/>
  <c r="W10" i="20"/>
  <c r="K32" i="20"/>
  <c r="K21" i="20"/>
  <c r="AA32" i="20"/>
  <c r="O21" i="20"/>
  <c r="S21" i="20"/>
  <c r="J8" i="20"/>
  <c r="K8" i="20" s="1"/>
  <c r="K10" i="20" s="1"/>
  <c r="G8" i="20"/>
  <c r="G10" i="20" s="1"/>
  <c r="Z105" i="19" l="1"/>
  <c r="AA105" i="19" s="1"/>
  <c r="V105" i="19"/>
  <c r="W105" i="19" s="1"/>
  <c r="R105" i="19"/>
  <c r="S105" i="19" s="1"/>
  <c r="N105" i="19"/>
  <c r="O105" i="19" s="1"/>
  <c r="K105" i="19"/>
  <c r="E105" i="19"/>
  <c r="Z104" i="19"/>
  <c r="AA104" i="19" s="1"/>
  <c r="V104" i="19"/>
  <c r="W104" i="19" s="1"/>
  <c r="R104" i="19"/>
  <c r="S104" i="19" s="1"/>
  <c r="O104" i="19"/>
  <c r="J104" i="19"/>
  <c r="K104" i="19" s="1"/>
  <c r="E104" i="19"/>
  <c r="Z103" i="19"/>
  <c r="AA103" i="19" s="1"/>
  <c r="V103" i="19"/>
  <c r="W103" i="19" s="1"/>
  <c r="R103" i="19"/>
  <c r="S103" i="19" s="1"/>
  <c r="N103" i="19"/>
  <c r="O103" i="19" s="1"/>
  <c r="K103" i="19"/>
  <c r="E103" i="19"/>
  <c r="AA102" i="19"/>
  <c r="W102" i="19"/>
  <c r="R102" i="19"/>
  <c r="S102" i="19" s="1"/>
  <c r="O102" i="19"/>
  <c r="K102" i="19"/>
  <c r="E102" i="19"/>
  <c r="Z101" i="19"/>
  <c r="AA101" i="19" s="1"/>
  <c r="W101" i="19"/>
  <c r="R101" i="19"/>
  <c r="S101" i="19" s="1"/>
  <c r="O101" i="19"/>
  <c r="K101" i="19"/>
  <c r="E101" i="19"/>
  <c r="Z100" i="19"/>
  <c r="AA100" i="19" s="1"/>
  <c r="W100" i="19"/>
  <c r="R100" i="19"/>
  <c r="S100" i="19" s="1"/>
  <c r="O100" i="19"/>
  <c r="K100" i="19"/>
  <c r="E100" i="19"/>
  <c r="Z99" i="19"/>
  <c r="AA99" i="19" s="1"/>
  <c r="W99" i="19"/>
  <c r="R99" i="19"/>
  <c r="S99" i="19" s="1"/>
  <c r="O99" i="19"/>
  <c r="K99" i="19"/>
  <c r="E99" i="19"/>
  <c r="Z98" i="19"/>
  <c r="AA98" i="19" s="1"/>
  <c r="Z97" i="19"/>
  <c r="AA97" i="19" s="1"/>
  <c r="W97" i="19"/>
  <c r="R97" i="19"/>
  <c r="S97" i="19" s="1"/>
  <c r="N97" i="19"/>
  <c r="O97" i="19" s="1"/>
  <c r="K97" i="19"/>
  <c r="E97" i="19"/>
  <c r="Z96" i="19"/>
  <c r="AA96" i="19" s="1"/>
  <c r="W96" i="19"/>
  <c r="R96" i="19"/>
  <c r="S96" i="19" s="1"/>
  <c r="O96" i="19"/>
  <c r="K96" i="19"/>
  <c r="E96" i="19"/>
  <c r="Z95" i="19"/>
  <c r="AA95" i="19" s="1"/>
  <c r="W95" i="19"/>
  <c r="R95" i="19"/>
  <c r="S95" i="19" s="1"/>
  <c r="O95" i="19"/>
  <c r="J95" i="19"/>
  <c r="K95" i="19" s="1"/>
  <c r="E95" i="19"/>
  <c r="Z94" i="19"/>
  <c r="AA94" i="19" s="1"/>
  <c r="AA89" i="19"/>
  <c r="W89" i="19"/>
  <c r="S89" i="19"/>
  <c r="O89" i="19"/>
  <c r="K89" i="19"/>
  <c r="E89" i="19"/>
  <c r="Z88" i="19"/>
  <c r="AA88" i="19" s="1"/>
  <c r="W88" i="19"/>
  <c r="R88" i="19"/>
  <c r="S88" i="19" s="1"/>
  <c r="O88" i="19"/>
  <c r="J88" i="19"/>
  <c r="K88" i="19" s="1"/>
  <c r="E88" i="19"/>
  <c r="AA87" i="19"/>
  <c r="W87" i="19"/>
  <c r="S87" i="19"/>
  <c r="O87" i="19"/>
  <c r="K87" i="19"/>
  <c r="E87" i="19"/>
  <c r="Z86" i="19"/>
  <c r="AA86" i="19" s="1"/>
  <c r="V86" i="19"/>
  <c r="W86" i="19" s="1"/>
  <c r="S86" i="19"/>
  <c r="O86" i="19"/>
  <c r="J86" i="19"/>
  <c r="K86" i="19" s="1"/>
  <c r="E86" i="19"/>
  <c r="AA85" i="19"/>
  <c r="W85" i="19"/>
  <c r="S85" i="19"/>
  <c r="O85" i="19"/>
  <c r="K85" i="19"/>
  <c r="E85" i="19"/>
  <c r="Z84" i="19"/>
  <c r="AA84" i="19" s="1"/>
  <c r="W84" i="19"/>
  <c r="R84" i="19"/>
  <c r="S84" i="19" s="1"/>
  <c r="O84" i="19"/>
  <c r="K84" i="19"/>
  <c r="E84" i="19"/>
  <c r="Z83" i="19"/>
  <c r="AA83" i="19" s="1"/>
  <c r="V83" i="19"/>
  <c r="W83" i="19" s="1"/>
  <c r="R83" i="19"/>
  <c r="S83" i="19" s="1"/>
  <c r="O83" i="19"/>
  <c r="K83" i="19"/>
  <c r="E83" i="19"/>
  <c r="V77" i="19"/>
  <c r="W77" i="19" s="1"/>
  <c r="R77" i="19"/>
  <c r="S77" i="19" s="1"/>
  <c r="O77" i="19"/>
  <c r="K77" i="19"/>
  <c r="E77" i="19"/>
  <c r="Z76" i="19"/>
  <c r="AA76" i="19" s="1"/>
  <c r="V76" i="19"/>
  <c r="W76" i="19" s="1"/>
  <c r="R76" i="19"/>
  <c r="S76" i="19" s="1"/>
  <c r="O76" i="19"/>
  <c r="K76" i="19"/>
  <c r="E76" i="19"/>
  <c r="Z75" i="19"/>
  <c r="AA75" i="19" s="1"/>
  <c r="V75" i="19"/>
  <c r="W75" i="19" s="1"/>
  <c r="R75" i="19"/>
  <c r="S75" i="19" s="1"/>
  <c r="O75" i="19"/>
  <c r="K75" i="19"/>
  <c r="E75" i="19"/>
  <c r="Z74" i="19"/>
  <c r="AA74" i="19" s="1"/>
  <c r="W74" i="19"/>
  <c r="R74" i="19"/>
  <c r="S74" i="19" s="1"/>
  <c r="O74" i="19"/>
  <c r="K74" i="19"/>
  <c r="E74" i="19"/>
  <c r="Z72" i="19"/>
  <c r="AA72" i="19" s="1"/>
  <c r="W72" i="19"/>
  <c r="R72" i="19"/>
  <c r="S72" i="19" s="1"/>
  <c r="O72" i="19"/>
  <c r="K72" i="19"/>
  <c r="E72" i="19"/>
  <c r="Z71" i="19"/>
  <c r="AA71" i="19" s="1"/>
  <c r="W71" i="19"/>
  <c r="R71" i="19"/>
  <c r="S71" i="19" s="1"/>
  <c r="O71" i="19"/>
  <c r="K71" i="19"/>
  <c r="E71" i="19"/>
  <c r="Z70" i="19"/>
  <c r="AA70" i="19" s="1"/>
  <c r="V70" i="19"/>
  <c r="W70" i="19" s="1"/>
  <c r="R70" i="19"/>
  <c r="S70" i="19" s="1"/>
  <c r="O70" i="19"/>
  <c r="J70" i="19"/>
  <c r="K70" i="19" s="1"/>
  <c r="E70" i="19"/>
  <c r="Z69" i="19"/>
  <c r="AA69" i="19" s="1"/>
  <c r="V69" i="19"/>
  <c r="W69" i="19" s="1"/>
  <c r="R69" i="19"/>
  <c r="S69" i="19" s="1"/>
  <c r="O69" i="19"/>
  <c r="J69" i="19"/>
  <c r="K69" i="19" s="1"/>
  <c r="E69" i="19"/>
  <c r="Z67" i="19"/>
  <c r="AA67" i="19" s="1"/>
  <c r="V67" i="19"/>
  <c r="W67" i="19" s="1"/>
  <c r="R67" i="19"/>
  <c r="S67" i="19" s="1"/>
  <c r="O67" i="19"/>
  <c r="J67" i="19"/>
  <c r="K67" i="19" s="1"/>
  <c r="E67" i="19"/>
  <c r="Z66" i="19"/>
  <c r="AA66" i="19" s="1"/>
  <c r="W66" i="19"/>
  <c r="R66" i="19"/>
  <c r="S66" i="19" s="1"/>
  <c r="O66" i="19"/>
  <c r="K66" i="19"/>
  <c r="E66" i="19"/>
  <c r="Z65" i="19"/>
  <c r="AA65" i="19" s="1"/>
  <c r="V65" i="19"/>
  <c r="W65" i="19" s="1"/>
  <c r="R65" i="19"/>
  <c r="S65" i="19" s="1"/>
  <c r="O65" i="19"/>
  <c r="J65" i="19"/>
  <c r="K65" i="19" s="1"/>
  <c r="E65" i="19"/>
  <c r="Z64" i="19"/>
  <c r="AA64" i="19" s="1"/>
  <c r="W64" i="19"/>
  <c r="R64" i="19"/>
  <c r="S64" i="19" s="1"/>
  <c r="O64" i="19"/>
  <c r="J64" i="19"/>
  <c r="K64" i="19" s="1"/>
  <c r="E64" i="19"/>
  <c r="Z63" i="19"/>
  <c r="AA63" i="19" s="1"/>
  <c r="W63" i="19"/>
  <c r="R63" i="19"/>
  <c r="S63" i="19" s="1"/>
  <c r="O63" i="19"/>
  <c r="J63" i="19"/>
  <c r="K63" i="19" s="1"/>
  <c r="E63" i="19"/>
  <c r="Z62" i="19"/>
  <c r="AA62" i="19" s="1"/>
  <c r="V62" i="19"/>
  <c r="W62" i="19" s="1"/>
  <c r="R62" i="19"/>
  <c r="S62" i="19" s="1"/>
  <c r="O62" i="19"/>
  <c r="K62" i="19"/>
  <c r="E62" i="19"/>
  <c r="Z56" i="19"/>
  <c r="AA56" i="19" s="1"/>
  <c r="W56" i="19"/>
  <c r="R56" i="19"/>
  <c r="S56" i="19" s="1"/>
  <c r="O56" i="19"/>
  <c r="J56" i="19"/>
  <c r="K56" i="19" s="1"/>
  <c r="E56" i="19"/>
  <c r="Z55" i="19"/>
  <c r="AA55" i="19" s="1"/>
  <c r="V55" i="19"/>
  <c r="W55" i="19" s="1"/>
  <c r="R55" i="19"/>
  <c r="S55" i="19" s="1"/>
  <c r="N55" i="19"/>
  <c r="O55" i="19" s="1"/>
  <c r="K55" i="19"/>
  <c r="E55" i="19"/>
  <c r="Z54" i="19"/>
  <c r="AA54" i="19" s="1"/>
  <c r="W54" i="19"/>
  <c r="R54" i="19"/>
  <c r="S54" i="19" s="1"/>
  <c r="O54" i="19"/>
  <c r="K54" i="19"/>
  <c r="E54" i="19"/>
  <c r="Z53" i="19"/>
  <c r="AA53" i="19" s="1"/>
  <c r="W53" i="19"/>
  <c r="R53" i="19"/>
  <c r="S53" i="19" s="1"/>
  <c r="O53" i="19"/>
  <c r="K53" i="19"/>
  <c r="E53" i="19"/>
  <c r="Z52" i="19"/>
  <c r="AA52" i="19" s="1"/>
  <c r="W52" i="19"/>
  <c r="R52" i="19"/>
  <c r="S52" i="19" s="1"/>
  <c r="O52" i="19"/>
  <c r="K52" i="19"/>
  <c r="E52" i="19"/>
  <c r="Z51" i="19"/>
  <c r="AA51" i="19" s="1"/>
  <c r="W51" i="19"/>
  <c r="R51" i="19"/>
  <c r="S51" i="19" s="1"/>
  <c r="O51" i="19"/>
  <c r="J51" i="19"/>
  <c r="K51" i="19" s="1"/>
  <c r="E51" i="19"/>
  <c r="Z50" i="19"/>
  <c r="AA50" i="19" s="1"/>
  <c r="V50" i="19"/>
  <c r="W50" i="19" s="1"/>
  <c r="R50" i="19"/>
  <c r="S50" i="19" s="1"/>
  <c r="O50" i="19"/>
  <c r="J50" i="19"/>
  <c r="K50" i="19" s="1"/>
  <c r="E50" i="19"/>
  <c r="Z49" i="19"/>
  <c r="AA49" i="19" s="1"/>
  <c r="V49" i="19"/>
  <c r="W49" i="19" s="1"/>
  <c r="R49" i="19"/>
  <c r="S49" i="19" s="1"/>
  <c r="O49" i="19"/>
  <c r="J49" i="19"/>
  <c r="K49" i="19" s="1"/>
  <c r="E49" i="19"/>
  <c r="Z48" i="19"/>
  <c r="AA48" i="19" s="1"/>
  <c r="W48" i="19"/>
  <c r="R48" i="19"/>
  <c r="S48" i="19" s="1"/>
  <c r="O48" i="19"/>
  <c r="K48" i="19"/>
  <c r="E48" i="19"/>
  <c r="Z47" i="19"/>
  <c r="AA47" i="19" s="1"/>
  <c r="V47" i="19"/>
  <c r="W47" i="19" s="1"/>
  <c r="R47" i="19"/>
  <c r="S47" i="19" s="1"/>
  <c r="O47" i="19"/>
  <c r="K47" i="19"/>
  <c r="E47" i="19"/>
  <c r="Z46" i="19"/>
  <c r="AA46" i="19" s="1"/>
  <c r="W46" i="19"/>
  <c r="R46" i="19"/>
  <c r="S46" i="19" s="1"/>
  <c r="O46" i="19"/>
  <c r="J46" i="19"/>
  <c r="K46" i="19" s="1"/>
  <c r="E46" i="19"/>
  <c r="Z44" i="19"/>
  <c r="AA44" i="19" s="1"/>
  <c r="W44" i="19"/>
  <c r="R44" i="19"/>
  <c r="S44" i="19" s="1"/>
  <c r="O44" i="19"/>
  <c r="K44" i="19"/>
  <c r="E44" i="19"/>
  <c r="Z43" i="19"/>
  <c r="AA43" i="19" s="1"/>
  <c r="V43" i="19"/>
  <c r="W43" i="19" s="1"/>
  <c r="R43" i="19"/>
  <c r="S43" i="19" s="1"/>
  <c r="O43" i="19"/>
  <c r="J43" i="19"/>
  <c r="K43" i="19" s="1"/>
  <c r="E43" i="19"/>
  <c r="Z37" i="19"/>
  <c r="AA37" i="19" s="1"/>
  <c r="V37" i="19"/>
  <c r="W37" i="19" s="1"/>
  <c r="R37" i="19"/>
  <c r="S37" i="19" s="1"/>
  <c r="O37" i="19"/>
  <c r="J37" i="19"/>
  <c r="K37" i="19" s="1"/>
  <c r="E37" i="19"/>
  <c r="Z36" i="19"/>
  <c r="AA36" i="19" s="1"/>
  <c r="V36" i="19"/>
  <c r="W36" i="19" s="1"/>
  <c r="R36" i="19"/>
  <c r="S36" i="19" s="1"/>
  <c r="O36" i="19"/>
  <c r="J36" i="19"/>
  <c r="K36" i="19" s="1"/>
  <c r="E36" i="19"/>
  <c r="Z35" i="19"/>
  <c r="AA35" i="19" s="1"/>
  <c r="W35" i="19"/>
  <c r="R35" i="19"/>
  <c r="S35" i="19" s="1"/>
  <c r="O35" i="19"/>
  <c r="J35" i="19"/>
  <c r="K35" i="19" s="1"/>
  <c r="E35" i="19"/>
  <c r="Z34" i="19"/>
  <c r="AA34" i="19" s="1"/>
  <c r="W34" i="19"/>
  <c r="R34" i="19"/>
  <c r="S34" i="19" s="1"/>
  <c r="N34" i="19"/>
  <c r="O34" i="19" s="1"/>
  <c r="J34" i="19"/>
  <c r="K34" i="19" s="1"/>
  <c r="E34" i="19"/>
  <c r="Z32" i="19"/>
  <c r="AA32" i="19" s="1"/>
  <c r="V32" i="19"/>
  <c r="W32" i="19" s="1"/>
  <c r="R32" i="19"/>
  <c r="S32" i="19" s="1"/>
  <c r="O32" i="19"/>
  <c r="K32" i="19"/>
  <c r="E32" i="19"/>
  <c r="Z31" i="19"/>
  <c r="AA31" i="19" s="1"/>
  <c r="V31" i="19"/>
  <c r="W31" i="19" s="1"/>
  <c r="R31" i="19"/>
  <c r="S31" i="19" s="1"/>
  <c r="O31" i="19"/>
  <c r="J31" i="19"/>
  <c r="K31" i="19" s="1"/>
  <c r="E31" i="19"/>
  <c r="Z30" i="19"/>
  <c r="AA30" i="19" s="1"/>
  <c r="W30" i="19"/>
  <c r="R30" i="19"/>
  <c r="S30" i="19" s="1"/>
  <c r="O30" i="19"/>
  <c r="K30" i="19"/>
  <c r="E30" i="19"/>
  <c r="Z29" i="19"/>
  <c r="AA29" i="19" s="1"/>
  <c r="W29" i="19"/>
  <c r="R29" i="19"/>
  <c r="S29" i="19" s="1"/>
  <c r="O29" i="19"/>
  <c r="K29" i="19"/>
  <c r="E29" i="19"/>
  <c r="Z28" i="19"/>
  <c r="AA28" i="19" s="1"/>
  <c r="W28" i="19"/>
  <c r="R28" i="19"/>
  <c r="S28" i="19" s="1"/>
  <c r="O28" i="19"/>
  <c r="K28" i="19"/>
  <c r="E28" i="19"/>
  <c r="Z27" i="19"/>
  <c r="AA27" i="19" s="1"/>
  <c r="V27" i="19"/>
  <c r="W27" i="19" s="1"/>
  <c r="R27" i="19"/>
  <c r="S27" i="19" s="1"/>
  <c r="O27" i="19"/>
  <c r="J27" i="19"/>
  <c r="K27" i="19" s="1"/>
  <c r="E27" i="19"/>
  <c r="Z21" i="19"/>
  <c r="AA21" i="19" s="1"/>
  <c r="W21" i="19"/>
  <c r="R21" i="19"/>
  <c r="S21" i="19" s="1"/>
  <c r="O21" i="19"/>
  <c r="K21" i="19"/>
  <c r="E21" i="19"/>
  <c r="Z20" i="19"/>
  <c r="AA20" i="19" s="1"/>
  <c r="W20" i="19"/>
  <c r="R20" i="19"/>
  <c r="S20" i="19" s="1"/>
  <c r="O20" i="19"/>
  <c r="K20" i="19"/>
  <c r="E20" i="19"/>
  <c r="Z19" i="19"/>
  <c r="AA19" i="19" s="1"/>
  <c r="W19" i="19"/>
  <c r="R19" i="19"/>
  <c r="S19" i="19" s="1"/>
  <c r="O19" i="19"/>
  <c r="K19" i="19"/>
  <c r="E19" i="19"/>
  <c r="AA14" i="19"/>
  <c r="AA16" i="19" s="1"/>
  <c r="W14" i="19"/>
  <c r="W16" i="19" s="1"/>
  <c r="S14" i="19"/>
  <c r="S16" i="19" s="1"/>
  <c r="O14" i="19"/>
  <c r="O16" i="19" s="1"/>
  <c r="K14" i="19"/>
  <c r="K16" i="19" s="1"/>
  <c r="E14" i="19"/>
  <c r="AA8" i="19"/>
  <c r="W8" i="19"/>
  <c r="S8" i="19"/>
  <c r="O8" i="19"/>
  <c r="K8" i="19"/>
  <c r="E8" i="19"/>
  <c r="AA7" i="19"/>
  <c r="W7" i="19"/>
  <c r="S7" i="19"/>
  <c r="O7" i="19"/>
  <c r="K7" i="19"/>
  <c r="E7" i="19"/>
  <c r="AA10" i="19" l="1"/>
  <c r="G99" i="19"/>
  <c r="AA91" i="19"/>
  <c r="G86" i="19"/>
  <c r="G88" i="19"/>
  <c r="K23" i="19"/>
  <c r="G89" i="19"/>
  <c r="K91" i="19"/>
  <c r="G8" i="19"/>
  <c r="G53" i="19"/>
  <c r="S23" i="19"/>
  <c r="O23" i="19"/>
  <c r="G103" i="19"/>
  <c r="G105" i="19"/>
  <c r="W23" i="19"/>
  <c r="G30" i="19"/>
  <c r="G48" i="19"/>
  <c r="G65" i="19"/>
  <c r="O10" i="19"/>
  <c r="S10" i="19"/>
  <c r="G85" i="19"/>
  <c r="AA23" i="19"/>
  <c r="G29" i="19"/>
  <c r="W10" i="19"/>
  <c r="W107" i="19"/>
  <c r="G47" i="19"/>
  <c r="G64" i="19"/>
  <c r="G72" i="19"/>
  <c r="G104" i="19"/>
  <c r="W91" i="19"/>
  <c r="G66" i="19"/>
  <c r="G77" i="19"/>
  <c r="S91" i="19"/>
  <c r="S39" i="19"/>
  <c r="S58" i="19"/>
  <c r="G75" i="19"/>
  <c r="G96" i="19"/>
  <c r="G46" i="19"/>
  <c r="G84" i="19"/>
  <c r="G28" i="19"/>
  <c r="O91" i="19"/>
  <c r="G21" i="19"/>
  <c r="G16" i="19"/>
  <c r="G20" i="19"/>
  <c r="G74" i="19"/>
  <c r="G31" i="19"/>
  <c r="O58" i="19"/>
  <c r="G49" i="19"/>
  <c r="G70" i="19"/>
  <c r="G101" i="19"/>
  <c r="G62" i="19"/>
  <c r="O79" i="19"/>
  <c r="G100" i="19"/>
  <c r="G7" i="19"/>
  <c r="G34" i="19"/>
  <c r="G36" i="19"/>
  <c r="G54" i="19"/>
  <c r="G102" i="19"/>
  <c r="G71" i="19"/>
  <c r="G14" i="19"/>
  <c r="G51" i="19"/>
  <c r="G56" i="19"/>
  <c r="G69" i="19"/>
  <c r="G87" i="19"/>
  <c r="W79" i="19"/>
  <c r="AA79" i="19"/>
  <c r="G63" i="19"/>
  <c r="K79" i="19"/>
  <c r="AA39" i="19"/>
  <c r="AA107" i="19"/>
  <c r="W39" i="19"/>
  <c r="G50" i="19"/>
  <c r="G43" i="19"/>
  <c r="K58" i="19"/>
  <c r="G35" i="19"/>
  <c r="G67" i="19"/>
  <c r="K107" i="19"/>
  <c r="G95" i="19"/>
  <c r="W58" i="19"/>
  <c r="AA58" i="19"/>
  <c r="G32" i="19"/>
  <c r="G76" i="19"/>
  <c r="O107" i="19"/>
  <c r="G97" i="19"/>
  <c r="O39" i="19"/>
  <c r="G37" i="19"/>
  <c r="G55" i="19"/>
  <c r="K39" i="19"/>
  <c r="G27" i="19"/>
  <c r="G44" i="19"/>
  <c r="G52" i="19"/>
  <c r="S107" i="19"/>
  <c r="S79" i="19"/>
  <c r="G19" i="19"/>
  <c r="G83" i="19"/>
  <c r="K10" i="19"/>
  <c r="G23" i="19" l="1"/>
  <c r="AA111" i="19"/>
  <c r="G91" i="19"/>
  <c r="O111" i="19"/>
  <c r="S111" i="19"/>
  <c r="G10" i="19"/>
  <c r="K111" i="19"/>
  <c r="W111" i="19"/>
  <c r="G58" i="19"/>
  <c r="G107" i="19"/>
  <c r="G79" i="19"/>
  <c r="G39" i="19"/>
  <c r="N24" i="17" l="1"/>
  <c r="R24" i="17" s="1"/>
  <c r="K24" i="17"/>
  <c r="E24" i="17"/>
  <c r="U23" i="17"/>
  <c r="N23" i="17"/>
  <c r="R23" i="17" s="1"/>
  <c r="M23" i="17"/>
  <c r="K23" i="17"/>
  <c r="U20" i="17"/>
  <c r="M20" i="17"/>
  <c r="I20" i="17"/>
  <c r="K11" i="17"/>
  <c r="E11" i="17"/>
  <c r="Z88" i="44"/>
  <c r="AA88" i="44" s="1"/>
  <c r="V88" i="44"/>
  <c r="W88" i="44" s="1"/>
  <c r="R88" i="44"/>
  <c r="S88" i="44" s="1"/>
  <c r="N88" i="44"/>
  <c r="O88" i="44" s="1"/>
  <c r="J88" i="44"/>
  <c r="K88" i="44" s="1"/>
  <c r="E88" i="44"/>
  <c r="F87" i="44"/>
  <c r="N87" i="44" s="1"/>
  <c r="O87" i="44" s="1"/>
  <c r="E87" i="44"/>
  <c r="Z86" i="44"/>
  <c r="AA86" i="44" s="1"/>
  <c r="V86" i="44"/>
  <c r="W86" i="44" s="1"/>
  <c r="R86" i="44"/>
  <c r="S86" i="44" s="1"/>
  <c r="N86" i="44"/>
  <c r="O86" i="44" s="1"/>
  <c r="J86" i="44"/>
  <c r="K86" i="44" s="1"/>
  <c r="E86" i="44"/>
  <c r="Z85" i="44"/>
  <c r="AA85" i="44" s="1"/>
  <c r="V85" i="44"/>
  <c r="W85" i="44" s="1"/>
  <c r="R85" i="44"/>
  <c r="S85" i="44" s="1"/>
  <c r="N85" i="44"/>
  <c r="O85" i="44" s="1"/>
  <c r="J85" i="44"/>
  <c r="K85" i="44" s="1"/>
  <c r="E85" i="44"/>
  <c r="Z84" i="44"/>
  <c r="AA84" i="44" s="1"/>
  <c r="V84" i="44"/>
  <c r="W84" i="44" s="1"/>
  <c r="R84" i="44"/>
  <c r="S84" i="44" s="1"/>
  <c r="N84" i="44"/>
  <c r="O84" i="44" s="1"/>
  <c r="J84" i="44"/>
  <c r="K84" i="44" s="1"/>
  <c r="E84" i="44"/>
  <c r="Z83" i="44"/>
  <c r="AA83" i="44" s="1"/>
  <c r="V83" i="44"/>
  <c r="W83" i="44" s="1"/>
  <c r="R83" i="44"/>
  <c r="S83" i="44" s="1"/>
  <c r="N83" i="44"/>
  <c r="O83" i="44" s="1"/>
  <c r="J83" i="44"/>
  <c r="K83" i="44" s="1"/>
  <c r="E83" i="44"/>
  <c r="Z77" i="44"/>
  <c r="AA77" i="44" s="1"/>
  <c r="V77" i="44"/>
  <c r="W77" i="44" s="1"/>
  <c r="R77" i="44"/>
  <c r="S77" i="44" s="1"/>
  <c r="N77" i="44"/>
  <c r="O77" i="44" s="1"/>
  <c r="J77" i="44"/>
  <c r="K77" i="44" s="1"/>
  <c r="E77" i="44"/>
  <c r="Z76" i="44"/>
  <c r="AA76" i="44" s="1"/>
  <c r="V76" i="44"/>
  <c r="W76" i="44" s="1"/>
  <c r="R76" i="44"/>
  <c r="S76" i="44" s="1"/>
  <c r="N76" i="44"/>
  <c r="O76" i="44" s="1"/>
  <c r="J76" i="44"/>
  <c r="K76" i="44" s="1"/>
  <c r="E76" i="44"/>
  <c r="Z75" i="44"/>
  <c r="AA75" i="44" s="1"/>
  <c r="V75" i="44"/>
  <c r="W75" i="44" s="1"/>
  <c r="R75" i="44"/>
  <c r="S75" i="44" s="1"/>
  <c r="N75" i="44"/>
  <c r="O75" i="44" s="1"/>
  <c r="J75" i="44"/>
  <c r="K75" i="44" s="1"/>
  <c r="E75" i="44"/>
  <c r="Z74" i="44"/>
  <c r="AA74" i="44" s="1"/>
  <c r="V74" i="44"/>
  <c r="W74" i="44" s="1"/>
  <c r="R74" i="44"/>
  <c r="S74" i="44" s="1"/>
  <c r="N74" i="44"/>
  <c r="O74" i="44" s="1"/>
  <c r="J74" i="44"/>
  <c r="K74" i="44" s="1"/>
  <c r="E74" i="44"/>
  <c r="Z73" i="44"/>
  <c r="AA73" i="44" s="1"/>
  <c r="V73" i="44"/>
  <c r="W73" i="44" s="1"/>
  <c r="R73" i="44"/>
  <c r="S73" i="44" s="1"/>
  <c r="N73" i="44"/>
  <c r="O73" i="44" s="1"/>
  <c r="J73" i="44"/>
  <c r="K73" i="44" s="1"/>
  <c r="E73" i="44"/>
  <c r="Z72" i="44"/>
  <c r="AA72" i="44" s="1"/>
  <c r="V72" i="44"/>
  <c r="W72" i="44" s="1"/>
  <c r="R72" i="44"/>
  <c r="S72" i="44" s="1"/>
  <c r="N72" i="44"/>
  <c r="O72" i="44" s="1"/>
  <c r="J72" i="44"/>
  <c r="K72" i="44" s="1"/>
  <c r="E72" i="44"/>
  <c r="F71" i="44"/>
  <c r="Z71" i="44" s="1"/>
  <c r="AA71" i="44" s="1"/>
  <c r="E71" i="44"/>
  <c r="Z70" i="44"/>
  <c r="AA70" i="44" s="1"/>
  <c r="V70" i="44"/>
  <c r="W70" i="44" s="1"/>
  <c r="R70" i="44"/>
  <c r="S70" i="44" s="1"/>
  <c r="N70" i="44"/>
  <c r="O70" i="44" s="1"/>
  <c r="J70" i="44"/>
  <c r="K70" i="44" s="1"/>
  <c r="E70" i="44"/>
  <c r="F69" i="44"/>
  <c r="Z69" i="44" s="1"/>
  <c r="AA69" i="44" s="1"/>
  <c r="E69" i="44"/>
  <c r="F68" i="44"/>
  <c r="Z68" i="44" s="1"/>
  <c r="AA68" i="44" s="1"/>
  <c r="E68" i="44"/>
  <c r="Z67" i="44"/>
  <c r="AA67" i="44" s="1"/>
  <c r="V67" i="44"/>
  <c r="W67" i="44" s="1"/>
  <c r="R67" i="44"/>
  <c r="S67" i="44" s="1"/>
  <c r="N67" i="44"/>
  <c r="O67" i="44" s="1"/>
  <c r="J67" i="44"/>
  <c r="K67" i="44" s="1"/>
  <c r="E67" i="44"/>
  <c r="Z66" i="44"/>
  <c r="AA66" i="44" s="1"/>
  <c r="V66" i="44"/>
  <c r="W66" i="44" s="1"/>
  <c r="R66" i="44"/>
  <c r="S66" i="44" s="1"/>
  <c r="N66" i="44"/>
  <c r="O66" i="44" s="1"/>
  <c r="J66" i="44"/>
  <c r="K66" i="44" s="1"/>
  <c r="E66" i="44"/>
  <c r="Z60" i="44"/>
  <c r="AA60" i="44" s="1"/>
  <c r="V60" i="44"/>
  <c r="W60" i="44" s="1"/>
  <c r="R60" i="44"/>
  <c r="S60" i="44" s="1"/>
  <c r="N60" i="44"/>
  <c r="O60" i="44" s="1"/>
  <c r="J60" i="44"/>
  <c r="K60" i="44" s="1"/>
  <c r="E60" i="44"/>
  <c r="Z59" i="44"/>
  <c r="AA59" i="44" s="1"/>
  <c r="V59" i="44"/>
  <c r="W59" i="44" s="1"/>
  <c r="R59" i="44"/>
  <c r="S59" i="44" s="1"/>
  <c r="N59" i="44"/>
  <c r="O59" i="44" s="1"/>
  <c r="J59" i="44"/>
  <c r="K59" i="44" s="1"/>
  <c r="E59" i="44"/>
  <c r="Z58" i="44"/>
  <c r="AA58" i="44" s="1"/>
  <c r="V58" i="44"/>
  <c r="W58" i="44" s="1"/>
  <c r="R58" i="44"/>
  <c r="S58" i="44" s="1"/>
  <c r="N58" i="44"/>
  <c r="O58" i="44" s="1"/>
  <c r="J58" i="44"/>
  <c r="K58" i="44" s="1"/>
  <c r="E58" i="44"/>
  <c r="Z57" i="44"/>
  <c r="AA57" i="44" s="1"/>
  <c r="V57" i="44"/>
  <c r="W57" i="44" s="1"/>
  <c r="R57" i="44"/>
  <c r="S57" i="44" s="1"/>
  <c r="N57" i="44"/>
  <c r="O57" i="44" s="1"/>
  <c r="J57" i="44"/>
  <c r="K57" i="44" s="1"/>
  <c r="E57" i="44"/>
  <c r="Z56" i="44"/>
  <c r="AA56" i="44" s="1"/>
  <c r="V56" i="44"/>
  <c r="W56" i="44" s="1"/>
  <c r="R56" i="44"/>
  <c r="S56" i="44" s="1"/>
  <c r="N56" i="44"/>
  <c r="O56" i="44" s="1"/>
  <c r="J56" i="44"/>
  <c r="K56" i="44" s="1"/>
  <c r="E56" i="44"/>
  <c r="Z55" i="44"/>
  <c r="AA55" i="44" s="1"/>
  <c r="V55" i="44"/>
  <c r="W55" i="44" s="1"/>
  <c r="R55" i="44"/>
  <c r="S55" i="44" s="1"/>
  <c r="N55" i="44"/>
  <c r="O55" i="44" s="1"/>
  <c r="J55" i="44"/>
  <c r="K55" i="44" s="1"/>
  <c r="E55" i="44"/>
  <c r="E54" i="44"/>
  <c r="Z53" i="44"/>
  <c r="AA53" i="44" s="1"/>
  <c r="V53" i="44"/>
  <c r="W53" i="44" s="1"/>
  <c r="R53" i="44"/>
  <c r="S53" i="44" s="1"/>
  <c r="N53" i="44"/>
  <c r="O53" i="44" s="1"/>
  <c r="J53" i="44"/>
  <c r="K53" i="44" s="1"/>
  <c r="E53" i="44"/>
  <c r="Z52" i="44"/>
  <c r="AA52" i="44" s="1"/>
  <c r="V52" i="44"/>
  <c r="W52" i="44" s="1"/>
  <c r="R52" i="44"/>
  <c r="S52" i="44" s="1"/>
  <c r="N52" i="44"/>
  <c r="O52" i="44" s="1"/>
  <c r="J52" i="44"/>
  <c r="K52" i="44" s="1"/>
  <c r="E52" i="44"/>
  <c r="Z51" i="44"/>
  <c r="AA51" i="44" s="1"/>
  <c r="V51" i="44"/>
  <c r="W51" i="44" s="1"/>
  <c r="R51" i="44"/>
  <c r="S51" i="44" s="1"/>
  <c r="N51" i="44"/>
  <c r="O51" i="44" s="1"/>
  <c r="J51" i="44"/>
  <c r="K51" i="44" s="1"/>
  <c r="E51" i="44"/>
  <c r="F50" i="44"/>
  <c r="Z50" i="44" s="1"/>
  <c r="AA50" i="44" s="1"/>
  <c r="E50" i="44"/>
  <c r="Z49" i="44"/>
  <c r="AA49" i="44" s="1"/>
  <c r="V49" i="44"/>
  <c r="W49" i="44" s="1"/>
  <c r="R49" i="44"/>
  <c r="S49" i="44" s="1"/>
  <c r="N49" i="44"/>
  <c r="O49" i="44" s="1"/>
  <c r="J49" i="44"/>
  <c r="K49" i="44" s="1"/>
  <c r="E49" i="44"/>
  <c r="Z48" i="44"/>
  <c r="AA48" i="44" s="1"/>
  <c r="V48" i="44"/>
  <c r="W48" i="44" s="1"/>
  <c r="R48" i="44"/>
  <c r="S48" i="44" s="1"/>
  <c r="N48" i="44"/>
  <c r="O48" i="44" s="1"/>
  <c r="J48" i="44"/>
  <c r="K48" i="44" s="1"/>
  <c r="E48" i="44"/>
  <c r="Z42" i="44"/>
  <c r="AA42" i="44" s="1"/>
  <c r="V42" i="44"/>
  <c r="W42" i="44" s="1"/>
  <c r="R42" i="44"/>
  <c r="S42" i="44" s="1"/>
  <c r="N42" i="44"/>
  <c r="O42" i="44" s="1"/>
  <c r="J42" i="44"/>
  <c r="K42" i="44" s="1"/>
  <c r="E42" i="44"/>
  <c r="Z41" i="44"/>
  <c r="AA41" i="44" s="1"/>
  <c r="V41" i="44"/>
  <c r="W41" i="44" s="1"/>
  <c r="R41" i="44"/>
  <c r="S41" i="44" s="1"/>
  <c r="N41" i="44"/>
  <c r="O41" i="44" s="1"/>
  <c r="J41" i="44"/>
  <c r="K41" i="44" s="1"/>
  <c r="E41" i="44"/>
  <c r="F40" i="44"/>
  <c r="N40" i="44" s="1"/>
  <c r="O40" i="44" s="1"/>
  <c r="E40" i="44"/>
  <c r="F39" i="44"/>
  <c r="R39" i="44" s="1"/>
  <c r="S39" i="44" s="1"/>
  <c r="E39" i="44"/>
  <c r="Z38" i="44"/>
  <c r="AA38" i="44" s="1"/>
  <c r="V38" i="44"/>
  <c r="W38" i="44" s="1"/>
  <c r="R38" i="44"/>
  <c r="S38" i="44" s="1"/>
  <c r="N38" i="44"/>
  <c r="O38" i="44" s="1"/>
  <c r="J38" i="44"/>
  <c r="K38" i="44" s="1"/>
  <c r="E38" i="44"/>
  <c r="Z37" i="44"/>
  <c r="AA37" i="44" s="1"/>
  <c r="V37" i="44"/>
  <c r="W37" i="44" s="1"/>
  <c r="R37" i="44"/>
  <c r="S37" i="44" s="1"/>
  <c r="N37" i="44"/>
  <c r="O37" i="44" s="1"/>
  <c r="J37" i="44"/>
  <c r="K37" i="44" s="1"/>
  <c r="E37" i="44"/>
  <c r="Z36" i="44"/>
  <c r="AA36" i="44" s="1"/>
  <c r="V36" i="44"/>
  <c r="W36" i="44" s="1"/>
  <c r="R36" i="44"/>
  <c r="S36" i="44" s="1"/>
  <c r="N36" i="44"/>
  <c r="O36" i="44" s="1"/>
  <c r="J36" i="44"/>
  <c r="K36" i="44" s="1"/>
  <c r="E36" i="44"/>
  <c r="Z35" i="44"/>
  <c r="AA35" i="44" s="1"/>
  <c r="V35" i="44"/>
  <c r="W35" i="44" s="1"/>
  <c r="R35" i="44"/>
  <c r="S35" i="44" s="1"/>
  <c r="N35" i="44"/>
  <c r="O35" i="44" s="1"/>
  <c r="J35" i="44"/>
  <c r="K35" i="44" s="1"/>
  <c r="E35" i="44"/>
  <c r="Z34" i="44"/>
  <c r="AA34" i="44" s="1"/>
  <c r="V34" i="44"/>
  <c r="W34" i="44" s="1"/>
  <c r="R34" i="44"/>
  <c r="S34" i="44" s="1"/>
  <c r="N34" i="44"/>
  <c r="O34" i="44" s="1"/>
  <c r="J34" i="44"/>
  <c r="K34" i="44" s="1"/>
  <c r="E34" i="44"/>
  <c r="Z33" i="44"/>
  <c r="AA33" i="44" s="1"/>
  <c r="V33" i="44"/>
  <c r="W33" i="44" s="1"/>
  <c r="R33" i="44"/>
  <c r="S33" i="44" s="1"/>
  <c r="N33" i="44"/>
  <c r="O33" i="44" s="1"/>
  <c r="J33" i="44"/>
  <c r="K33" i="44" s="1"/>
  <c r="E33" i="44"/>
  <c r="Z32" i="44"/>
  <c r="AA32" i="44" s="1"/>
  <c r="V32" i="44"/>
  <c r="W32" i="44" s="1"/>
  <c r="R32" i="44"/>
  <c r="S32" i="44" s="1"/>
  <c r="N32" i="44"/>
  <c r="O32" i="44" s="1"/>
  <c r="J32" i="44"/>
  <c r="K32" i="44" s="1"/>
  <c r="E32" i="44"/>
  <c r="Z31" i="44"/>
  <c r="AA31" i="44" s="1"/>
  <c r="V31" i="44"/>
  <c r="W31" i="44" s="1"/>
  <c r="R31" i="44"/>
  <c r="S31" i="44" s="1"/>
  <c r="N31" i="44"/>
  <c r="O31" i="44" s="1"/>
  <c r="J31" i="44"/>
  <c r="K31" i="44" s="1"/>
  <c r="E31" i="44"/>
  <c r="Z30" i="44"/>
  <c r="AA30" i="44" s="1"/>
  <c r="V30" i="44"/>
  <c r="W30" i="44" s="1"/>
  <c r="R30" i="44"/>
  <c r="S30" i="44" s="1"/>
  <c r="N30" i="44"/>
  <c r="O30" i="44" s="1"/>
  <c r="J30" i="44"/>
  <c r="K30" i="44" s="1"/>
  <c r="E30" i="44"/>
  <c r="Z29" i="44"/>
  <c r="AA29" i="44" s="1"/>
  <c r="V29" i="44"/>
  <c r="W29" i="44" s="1"/>
  <c r="R29" i="44"/>
  <c r="S29" i="44" s="1"/>
  <c r="N29" i="44"/>
  <c r="O29" i="44" s="1"/>
  <c r="J29" i="44"/>
  <c r="K29" i="44" s="1"/>
  <c r="E29" i="44"/>
  <c r="Z23" i="44"/>
  <c r="AA23" i="44" s="1"/>
  <c r="V23" i="44"/>
  <c r="W23" i="44" s="1"/>
  <c r="R23" i="44"/>
  <c r="S23" i="44" s="1"/>
  <c r="N23" i="44"/>
  <c r="O23" i="44" s="1"/>
  <c r="J23" i="44"/>
  <c r="K23" i="44" s="1"/>
  <c r="E23" i="44"/>
  <c r="Z22" i="44"/>
  <c r="AA22" i="44" s="1"/>
  <c r="V22" i="44"/>
  <c r="W22" i="44" s="1"/>
  <c r="R22" i="44"/>
  <c r="S22" i="44" s="1"/>
  <c r="N22" i="44"/>
  <c r="O22" i="44" s="1"/>
  <c r="J22" i="44"/>
  <c r="K22" i="44" s="1"/>
  <c r="E22" i="44"/>
  <c r="Z21" i="44"/>
  <c r="AA21" i="44" s="1"/>
  <c r="V21" i="44"/>
  <c r="W21" i="44" s="1"/>
  <c r="R21" i="44"/>
  <c r="S21" i="44" s="1"/>
  <c r="N21" i="44"/>
  <c r="O21" i="44" s="1"/>
  <c r="J21" i="44"/>
  <c r="K21" i="44" s="1"/>
  <c r="E21" i="44"/>
  <c r="Z20" i="44"/>
  <c r="AA20" i="44" s="1"/>
  <c r="V20" i="44"/>
  <c r="W20" i="44" s="1"/>
  <c r="R20" i="44"/>
  <c r="S20" i="44" s="1"/>
  <c r="N20" i="44"/>
  <c r="O20" i="44" s="1"/>
  <c r="J20" i="44"/>
  <c r="K20" i="44" s="1"/>
  <c r="E20" i="44"/>
  <c r="Z19" i="44"/>
  <c r="AA19" i="44" s="1"/>
  <c r="V19" i="44"/>
  <c r="W19" i="44" s="1"/>
  <c r="R19" i="44"/>
  <c r="S19" i="44" s="1"/>
  <c r="N19" i="44"/>
  <c r="O19" i="44" s="1"/>
  <c r="J19" i="44"/>
  <c r="K19" i="44" s="1"/>
  <c r="E19" i="44"/>
  <c r="Z18" i="44"/>
  <c r="AA18" i="44" s="1"/>
  <c r="V18" i="44"/>
  <c r="W18" i="44" s="1"/>
  <c r="R18" i="44"/>
  <c r="S18" i="44" s="1"/>
  <c r="N18" i="44"/>
  <c r="O18" i="44" s="1"/>
  <c r="J18" i="44"/>
  <c r="K18" i="44" s="1"/>
  <c r="E18" i="44"/>
  <c r="Z17" i="44"/>
  <c r="AA17" i="44" s="1"/>
  <c r="V17" i="44"/>
  <c r="W17" i="44" s="1"/>
  <c r="R17" i="44"/>
  <c r="S17" i="44" s="1"/>
  <c r="N17" i="44"/>
  <c r="O17" i="44" s="1"/>
  <c r="J17" i="44"/>
  <c r="K17" i="44" s="1"/>
  <c r="E17" i="44"/>
  <c r="Z11" i="44"/>
  <c r="AA11" i="44" s="1"/>
  <c r="V11" i="44"/>
  <c r="W11" i="44" s="1"/>
  <c r="R11" i="44"/>
  <c r="S11" i="44" s="1"/>
  <c r="N11" i="44"/>
  <c r="O11" i="44" s="1"/>
  <c r="J11" i="44"/>
  <c r="K11" i="44" s="1"/>
  <c r="E11" i="44"/>
  <c r="Z10" i="44"/>
  <c r="AA10" i="44" s="1"/>
  <c r="V10" i="44"/>
  <c r="W10" i="44" s="1"/>
  <c r="R10" i="44"/>
  <c r="S10" i="44" s="1"/>
  <c r="N10" i="44"/>
  <c r="O10" i="44" s="1"/>
  <c r="J10" i="44"/>
  <c r="K10" i="44" s="1"/>
  <c r="E10" i="44"/>
  <c r="Z9" i="44"/>
  <c r="AA9" i="44" s="1"/>
  <c r="V9" i="44"/>
  <c r="W9" i="44" s="1"/>
  <c r="R9" i="44"/>
  <c r="S9" i="44" s="1"/>
  <c r="N9" i="44"/>
  <c r="O9" i="44" s="1"/>
  <c r="J9" i="44"/>
  <c r="K9" i="44" s="1"/>
  <c r="E9" i="44"/>
  <c r="Z8" i="44"/>
  <c r="AA8" i="44" s="1"/>
  <c r="V8" i="44"/>
  <c r="W8" i="44" s="1"/>
  <c r="R8" i="44"/>
  <c r="S8" i="44" s="1"/>
  <c r="N8" i="44"/>
  <c r="O8" i="44" s="1"/>
  <c r="J8" i="44"/>
  <c r="K8" i="44" s="1"/>
  <c r="E8" i="44"/>
  <c r="Z7" i="44"/>
  <c r="AA7" i="44" s="1"/>
  <c r="V7" i="44"/>
  <c r="W7" i="44" s="1"/>
  <c r="R7" i="44"/>
  <c r="S7" i="44" s="1"/>
  <c r="N7" i="44"/>
  <c r="O7" i="44" s="1"/>
  <c r="J7" i="44"/>
  <c r="K7" i="44" s="1"/>
  <c r="E7" i="44"/>
  <c r="E23" i="17" l="1"/>
  <c r="V87" i="44"/>
  <c r="W87" i="44" s="1"/>
  <c r="W90" i="44" s="1"/>
  <c r="G19" i="44"/>
  <c r="V69" i="44"/>
  <c r="W69" i="44" s="1"/>
  <c r="O90" i="44"/>
  <c r="R69" i="44"/>
  <c r="S69" i="44" s="1"/>
  <c r="J50" i="44"/>
  <c r="K50" i="44" s="1"/>
  <c r="K62" i="44" s="1"/>
  <c r="Z87" i="44"/>
  <c r="AA87" i="44" s="1"/>
  <c r="S25" i="44"/>
  <c r="AA13" i="44"/>
  <c r="W25" i="44"/>
  <c r="G49" i="44"/>
  <c r="O25" i="44"/>
  <c r="AA62" i="44"/>
  <c r="AA25" i="44"/>
  <c r="O13" i="44"/>
  <c r="G23" i="44"/>
  <c r="S13" i="44"/>
  <c r="G51" i="44"/>
  <c r="G55" i="44"/>
  <c r="G59" i="44"/>
  <c r="G86" i="44"/>
  <c r="R40" i="44"/>
  <c r="S40" i="44" s="1"/>
  <c r="S44" i="44" s="1"/>
  <c r="G9" i="44"/>
  <c r="G33" i="44"/>
  <c r="G37" i="44"/>
  <c r="J68" i="44"/>
  <c r="K68" i="44" s="1"/>
  <c r="G73" i="44"/>
  <c r="V40" i="44"/>
  <c r="W40" i="44" s="1"/>
  <c r="G53" i="44"/>
  <c r="J71" i="44"/>
  <c r="K71" i="44" s="1"/>
  <c r="G58" i="44"/>
  <c r="N68" i="44"/>
  <c r="O68" i="44" s="1"/>
  <c r="N71" i="44"/>
  <c r="O71" i="44" s="1"/>
  <c r="G75" i="44"/>
  <c r="G88" i="44"/>
  <c r="G20" i="44"/>
  <c r="G32" i="44"/>
  <c r="G36" i="44"/>
  <c r="Z40" i="44"/>
  <c r="AA40" i="44" s="1"/>
  <c r="R68" i="44"/>
  <c r="S68" i="44" s="1"/>
  <c r="R71" i="44"/>
  <c r="S71" i="44" s="1"/>
  <c r="G8" i="44"/>
  <c r="G18" i="44"/>
  <c r="G22" i="44"/>
  <c r="G42" i="44"/>
  <c r="V68" i="44"/>
  <c r="W68" i="44" s="1"/>
  <c r="G77" i="44"/>
  <c r="G57" i="44"/>
  <c r="G72" i="44"/>
  <c r="G31" i="44"/>
  <c r="G35" i="44"/>
  <c r="G41" i="44"/>
  <c r="G10" i="44"/>
  <c r="K25" i="44"/>
  <c r="V39" i="44"/>
  <c r="W39" i="44" s="1"/>
  <c r="W44" i="44" s="1"/>
  <c r="J69" i="44"/>
  <c r="K69" i="44" s="1"/>
  <c r="G11" i="44"/>
  <c r="G30" i="44"/>
  <c r="Z39" i="44"/>
  <c r="AA39" i="44" s="1"/>
  <c r="AA44" i="44" s="1"/>
  <c r="R87" i="44"/>
  <c r="S87" i="44" s="1"/>
  <c r="S90" i="44" s="1"/>
  <c r="W13" i="44"/>
  <c r="G34" i="44"/>
  <c r="G38" i="44"/>
  <c r="N69" i="44"/>
  <c r="O69" i="44" s="1"/>
  <c r="O24" i="17"/>
  <c r="O23" i="17"/>
  <c r="V24" i="17"/>
  <c r="W24" i="17" s="1"/>
  <c r="S24" i="17"/>
  <c r="V23" i="17"/>
  <c r="W23" i="17" s="1"/>
  <c r="S23" i="17"/>
  <c r="G76" i="44"/>
  <c r="G83" i="44"/>
  <c r="AA79" i="44"/>
  <c r="G67" i="44"/>
  <c r="G85" i="44"/>
  <c r="G70" i="44"/>
  <c r="G29" i="44"/>
  <c r="G7" i="44"/>
  <c r="K13" i="44"/>
  <c r="AA90" i="44"/>
  <c r="S62" i="44"/>
  <c r="G52" i="44"/>
  <c r="G66" i="44"/>
  <c r="G21" i="44"/>
  <c r="G74" i="44"/>
  <c r="G84" i="44"/>
  <c r="G56" i="44"/>
  <c r="G60" i="44"/>
  <c r="G48" i="44"/>
  <c r="N50" i="44"/>
  <c r="O50" i="44" s="1"/>
  <c r="J39" i="44"/>
  <c r="K39" i="44" s="1"/>
  <c r="R50" i="44"/>
  <c r="S50" i="44" s="1"/>
  <c r="V71" i="44"/>
  <c r="W71" i="44" s="1"/>
  <c r="J40" i="44"/>
  <c r="K40" i="44" s="1"/>
  <c r="J87" i="44"/>
  <c r="K87" i="44" s="1"/>
  <c r="N39" i="44"/>
  <c r="O39" i="44" s="1"/>
  <c r="O44" i="44" s="1"/>
  <c r="V50" i="44"/>
  <c r="W50" i="44" s="1"/>
  <c r="W62" i="44" s="1"/>
  <c r="G17" i="44"/>
  <c r="W79" i="44" l="1"/>
  <c r="G50" i="44"/>
  <c r="G68" i="44"/>
  <c r="S79" i="44"/>
  <c r="G25" i="44"/>
  <c r="G71" i="44"/>
  <c r="K79" i="44"/>
  <c r="G69" i="44"/>
  <c r="O79" i="44"/>
  <c r="O62" i="44"/>
  <c r="G62" i="44" s="1"/>
  <c r="G40" i="44"/>
  <c r="G13" i="44"/>
  <c r="G87" i="44"/>
  <c r="G24" i="17"/>
  <c r="G23" i="17"/>
  <c r="K90" i="44"/>
  <c r="G90" i="44" s="1"/>
  <c r="G39" i="44"/>
  <c r="K44" i="44"/>
  <c r="G44" i="44" s="1"/>
  <c r="G79" i="44" l="1"/>
  <c r="H20" i="33"/>
  <c r="G20" i="33"/>
  <c r="F20" i="33"/>
  <c r="E20" i="33"/>
  <c r="D20" i="33"/>
  <c r="C20" i="33"/>
  <c r="G101" i="32" l="1"/>
  <c r="K37" i="20" l="1"/>
  <c r="M10" i="39" l="1"/>
  <c r="Z9" i="39"/>
  <c r="AA9" i="39" s="1"/>
  <c r="V9" i="39"/>
  <c r="W9" i="39" s="1"/>
  <c r="R9" i="39"/>
  <c r="S9" i="39" s="1"/>
  <c r="N9" i="39"/>
  <c r="O9" i="39" s="1"/>
  <c r="J9" i="39"/>
  <c r="K9" i="39" s="1"/>
  <c r="E9" i="39"/>
  <c r="W13" i="39"/>
  <c r="S13" i="39"/>
  <c r="E13" i="39"/>
  <c r="J13" i="39"/>
  <c r="K13" i="39" s="1"/>
  <c r="N13" i="39"/>
  <c r="O13" i="39" s="1"/>
  <c r="R13" i="39"/>
  <c r="V13" i="39"/>
  <c r="Z13" i="39"/>
  <c r="AA13" i="39" s="1"/>
  <c r="G13" i="39" l="1"/>
  <c r="G9" i="39"/>
  <c r="N20" i="17" l="1"/>
  <c r="R20" i="17" s="1"/>
  <c r="V20" i="17" s="1"/>
  <c r="N18" i="17"/>
  <c r="R18" i="17" s="1"/>
  <c r="V18" i="17" s="1"/>
  <c r="AA16" i="17"/>
  <c r="W16" i="17"/>
  <c r="S16" i="17"/>
  <c r="O16" i="17"/>
  <c r="K16" i="17"/>
  <c r="E16" i="17"/>
  <c r="AA15" i="17"/>
  <c r="W15" i="17"/>
  <c r="S15" i="17"/>
  <c r="O15" i="17"/>
  <c r="K15" i="17"/>
  <c r="E15" i="17"/>
  <c r="Y12" i="17"/>
  <c r="AA12" i="17" s="1"/>
  <c r="U12" i="17"/>
  <c r="Q12" i="17"/>
  <c r="N12" i="17"/>
  <c r="R12" i="17" s="1"/>
  <c r="V12" i="17" s="1"/>
  <c r="M12" i="17"/>
  <c r="I12" i="17"/>
  <c r="K12" i="17" s="1"/>
  <c r="AA11" i="17"/>
  <c r="N11" i="17"/>
  <c r="O11" i="17" s="1"/>
  <c r="AA10" i="17"/>
  <c r="N10" i="17"/>
  <c r="R10" i="17" s="1"/>
  <c r="V10" i="17" s="1"/>
  <c r="W10" i="17" s="1"/>
  <c r="K10" i="17"/>
  <c r="AA7" i="17"/>
  <c r="U7" i="17"/>
  <c r="Q7" i="17"/>
  <c r="N7" i="17"/>
  <c r="R7" i="17" s="1"/>
  <c r="V7" i="17" s="1"/>
  <c r="M7" i="17"/>
  <c r="I7" i="17"/>
  <c r="K7" i="17" s="1"/>
  <c r="O20" i="17" l="1"/>
  <c r="O18" i="17"/>
  <c r="O10" i="17"/>
  <c r="G16" i="17"/>
  <c r="O12" i="17"/>
  <c r="W18" i="17"/>
  <c r="AA28" i="17"/>
  <c r="E18" i="17"/>
  <c r="E20" i="17"/>
  <c r="E7" i="17"/>
  <c r="G15" i="17"/>
  <c r="K18" i="17"/>
  <c r="S12" i="17"/>
  <c r="R11" i="17"/>
  <c r="V11" i="17" s="1"/>
  <c r="W11" i="17" s="1"/>
  <c r="E10" i="17"/>
  <c r="O7" i="17"/>
  <c r="W20" i="17"/>
  <c r="S18" i="17"/>
  <c r="W12" i="17"/>
  <c r="S20" i="17"/>
  <c r="S10" i="17"/>
  <c r="K20" i="17"/>
  <c r="S7" i="17"/>
  <c r="W7" i="17"/>
  <c r="E12" i="17"/>
  <c r="O28" i="17" l="1"/>
  <c r="G10" i="17"/>
  <c r="K28" i="17"/>
  <c r="W28" i="17"/>
  <c r="G12" i="17"/>
  <c r="G18" i="17"/>
  <c r="G7" i="17"/>
  <c r="G20" i="17"/>
  <c r="S11" i="17"/>
  <c r="G11" i="17" s="1"/>
  <c r="S28" i="17" l="1"/>
  <c r="G28" i="17" s="1"/>
  <c r="G111" i="19" l="1"/>
  <c r="Z7" i="27"/>
  <c r="V7" i="27"/>
  <c r="R7" i="27"/>
  <c r="N7" i="27"/>
  <c r="J7" i="27"/>
  <c r="Z9" i="18"/>
  <c r="Z8" i="18"/>
  <c r="Z7" i="18"/>
  <c r="V9" i="18"/>
  <c r="V8" i="18"/>
  <c r="V7" i="18"/>
  <c r="N9" i="18"/>
  <c r="N8" i="18"/>
  <c r="R9" i="18"/>
  <c r="R8" i="18"/>
  <c r="R7" i="18"/>
  <c r="N7" i="18"/>
  <c r="J9" i="18"/>
  <c r="J8" i="18"/>
  <c r="J7" i="18"/>
  <c r="Z12" i="39"/>
  <c r="AA12" i="39" s="1"/>
  <c r="Z11" i="39"/>
  <c r="Z10" i="39"/>
  <c r="Z8" i="39"/>
  <c r="V11" i="39"/>
  <c r="V10" i="39"/>
  <c r="V8" i="39"/>
  <c r="R11" i="39"/>
  <c r="R10" i="39"/>
  <c r="R8" i="39"/>
  <c r="N11" i="39"/>
  <c r="N10" i="39"/>
  <c r="N8" i="39"/>
  <c r="J11" i="39"/>
  <c r="J10" i="39"/>
  <c r="J8" i="39"/>
  <c r="E12" i="39"/>
  <c r="Z7" i="39"/>
  <c r="V7" i="39"/>
  <c r="R7" i="39"/>
  <c r="N7" i="39"/>
  <c r="J7" i="39"/>
  <c r="V12" i="39" l="1"/>
  <c r="W12" i="39" s="1"/>
  <c r="R12" i="39"/>
  <c r="S12" i="39" s="1"/>
  <c r="J12" i="39"/>
  <c r="K12" i="39" s="1"/>
  <c r="N12" i="39"/>
  <c r="O12" i="39" s="1"/>
  <c r="G12" i="39" l="1"/>
  <c r="V16" i="27"/>
  <c r="V17" i="27"/>
  <c r="V19" i="27"/>
  <c r="V20" i="27"/>
  <c r="V13" i="27"/>
  <c r="R19" i="27"/>
  <c r="S19" i="27" s="1"/>
  <c r="R20" i="27"/>
  <c r="AA19" i="27"/>
  <c r="W19" i="27"/>
  <c r="O19" i="27"/>
  <c r="K19" i="27"/>
  <c r="E19" i="27"/>
  <c r="V14" i="27" l="1"/>
  <c r="V18" i="27"/>
  <c r="V15" i="27"/>
  <c r="G19" i="27"/>
  <c r="B5" i="33" l="1"/>
  <c r="C3" i="44" l="1"/>
  <c r="K95" i="44" l="1"/>
  <c r="O42" i="38"/>
  <c r="AZ82" i="38"/>
  <c r="AY82" i="38"/>
  <c r="AV80" i="38"/>
  <c r="AT80" i="38"/>
  <c r="AS80" i="38"/>
  <c r="AR80" i="38"/>
  <c r="AQ80" i="38"/>
  <c r="AP80" i="38"/>
  <c r="AN80" i="38"/>
  <c r="AM80" i="38"/>
  <c r="AL80" i="38"/>
  <c r="AK80" i="38"/>
  <c r="AJ80" i="38"/>
  <c r="AH80" i="38"/>
  <c r="AG80" i="38"/>
  <c r="AF80" i="38"/>
  <c r="AE80" i="38"/>
  <c r="AD80" i="38"/>
  <c r="AB80" i="38"/>
  <c r="AA80" i="38"/>
  <c r="Z80" i="38"/>
  <c r="Y80" i="38"/>
  <c r="AC78" i="38"/>
  <c r="AT77" i="38"/>
  <c r="AP77" i="38"/>
  <c r="AN77" i="38"/>
  <c r="AJ77" i="38"/>
  <c r="AH77" i="38"/>
  <c r="AD77" i="38"/>
  <c r="AA77" i="38"/>
  <c r="Z77" i="38"/>
  <c r="Y77" i="38"/>
  <c r="AC76" i="38"/>
  <c r="AQ75" i="38"/>
  <c r="AP75" i="38"/>
  <c r="AK75" i="38"/>
  <c r="AJ75" i="38"/>
  <c r="AE75" i="38"/>
  <c r="AD75" i="38"/>
  <c r="AA75" i="38"/>
  <c r="Z75" i="38"/>
  <c r="Y75" i="38"/>
  <c r="AV74" i="38"/>
  <c r="AT74" i="38"/>
  <c r="AS74" i="38"/>
  <c r="AR74" i="38"/>
  <c r="AQ74" i="38"/>
  <c r="AP74" i="38"/>
  <c r="AM74" i="38"/>
  <c r="AL74" i="38"/>
  <c r="AK74" i="38"/>
  <c r="AJ74" i="38"/>
  <c r="AH74" i="38"/>
  <c r="AG74" i="38"/>
  <c r="AF74" i="38"/>
  <c r="AE74" i="38"/>
  <c r="AD74" i="38"/>
  <c r="AB74" i="38"/>
  <c r="AA74" i="38"/>
  <c r="Z74" i="38"/>
  <c r="Y74" i="38"/>
  <c r="AV73" i="38"/>
  <c r="AR73" i="38"/>
  <c r="AQ73" i="38"/>
  <c r="AP73" i="38"/>
  <c r="AL73" i="38"/>
  <c r="AK73" i="38"/>
  <c r="AJ73" i="38"/>
  <c r="AF73" i="38"/>
  <c r="AE73" i="38"/>
  <c r="AD73" i="38"/>
  <c r="AC73" i="38"/>
  <c r="AB73" i="38"/>
  <c r="Z73" i="38"/>
  <c r="Y73" i="38"/>
  <c r="AR72" i="38"/>
  <c r="AQ72" i="38"/>
  <c r="AL72" i="38"/>
  <c r="AK72" i="38"/>
  <c r="AF72" i="38"/>
  <c r="AD72" i="38"/>
  <c r="AC72" i="38"/>
  <c r="Y72" i="38"/>
  <c r="AU71" i="38"/>
  <c r="AR71" i="38"/>
  <c r="AQ71" i="38"/>
  <c r="AP71" i="38"/>
  <c r="AO71" i="38"/>
  <c r="AL71" i="38"/>
  <c r="AK71" i="38"/>
  <c r="AJ71" i="38"/>
  <c r="AI71" i="38"/>
  <c r="AF71" i="38"/>
  <c r="AE71" i="38"/>
  <c r="AD71" i="38"/>
  <c r="AC71" i="38"/>
  <c r="AB71" i="38"/>
  <c r="Z71" i="38"/>
  <c r="Y71" i="38"/>
  <c r="AW70" i="38"/>
  <c r="AU70" i="38"/>
  <c r="AQ70" i="38"/>
  <c r="AP70" i="38"/>
  <c r="AD70" i="38"/>
  <c r="AC70" i="38"/>
  <c r="AB70" i="38"/>
  <c r="Y70" i="38"/>
  <c r="AW69" i="38"/>
  <c r="AU69" i="38"/>
  <c r="AT69" i="38"/>
  <c r="AS69" i="38"/>
  <c r="AR69" i="38"/>
  <c r="AQ69" i="38"/>
  <c r="AO69" i="38"/>
  <c r="AN69" i="38"/>
  <c r="AM69" i="38"/>
  <c r="AL69" i="38"/>
  <c r="AK69" i="38"/>
  <c r="AI69" i="38"/>
  <c r="AH69" i="38"/>
  <c r="AG69" i="38"/>
  <c r="AF69" i="38"/>
  <c r="AE69" i="38"/>
  <c r="AC69" i="38"/>
  <c r="AB69" i="38"/>
  <c r="AA69" i="38"/>
  <c r="Z69" i="38"/>
  <c r="AW68" i="38"/>
  <c r="AU68" i="38"/>
  <c r="AT68" i="38"/>
  <c r="AS68" i="38"/>
  <c r="AQ68" i="38"/>
  <c r="AP68" i="38"/>
  <c r="AO68" i="38"/>
  <c r="AN68" i="38"/>
  <c r="AM68" i="38"/>
  <c r="AK68" i="38"/>
  <c r="AJ68" i="38"/>
  <c r="AI68" i="38"/>
  <c r="AH68" i="38"/>
  <c r="AD68" i="38"/>
  <c r="AB68" i="38"/>
  <c r="AA68" i="38"/>
  <c r="Z68" i="38"/>
  <c r="Y68" i="38"/>
  <c r="AV67" i="38"/>
  <c r="AU67" i="38"/>
  <c r="AT67" i="38"/>
  <c r="AQ67" i="38"/>
  <c r="AP67" i="38"/>
  <c r="AO67" i="38"/>
  <c r="AN67" i="38"/>
  <c r="AK67" i="38"/>
  <c r="AJ67" i="38"/>
  <c r="AI67" i="38"/>
  <c r="AE67" i="38"/>
  <c r="AD67" i="38"/>
  <c r="AB67" i="38"/>
  <c r="AA67" i="38"/>
  <c r="Z67" i="38"/>
  <c r="Y67" i="38"/>
  <c r="AV66" i="38"/>
  <c r="AU66" i="38"/>
  <c r="AT66" i="38"/>
  <c r="AQ66" i="38"/>
  <c r="AP66" i="38"/>
  <c r="AO66" i="38"/>
  <c r="AN66" i="38"/>
  <c r="AK66" i="38"/>
  <c r="AJ66" i="38"/>
  <c r="AI66" i="38"/>
  <c r="AH66" i="38"/>
  <c r="AE66" i="38"/>
  <c r="AD66" i="38"/>
  <c r="AB66" i="38"/>
  <c r="AA66" i="38"/>
  <c r="Z66" i="38"/>
  <c r="Y66" i="38"/>
  <c r="AW65" i="38"/>
  <c r="AU65" i="38"/>
  <c r="AT65" i="38"/>
  <c r="AS65" i="38"/>
  <c r="AN65" i="38"/>
  <c r="AM65" i="38"/>
  <c r="AH65" i="38"/>
  <c r="AG65" i="38"/>
  <c r="AV64" i="38"/>
  <c r="AU64" i="38"/>
  <c r="AT64" i="38"/>
  <c r="AS64" i="38"/>
  <c r="AR64" i="38"/>
  <c r="AQ64" i="38"/>
  <c r="AO64" i="38"/>
  <c r="AN64" i="38"/>
  <c r="AM64" i="38"/>
  <c r="AL64" i="38"/>
  <c r="AK64" i="38"/>
  <c r="AI64" i="38"/>
  <c r="AH64" i="38"/>
  <c r="AG64" i="38"/>
  <c r="AF64" i="38"/>
  <c r="AE64" i="38"/>
  <c r="AC64" i="38"/>
  <c r="AB64" i="38"/>
  <c r="AA64" i="38"/>
  <c r="Y64" i="38"/>
  <c r="AV63" i="38"/>
  <c r="AT63" i="38"/>
  <c r="AS63" i="38"/>
  <c r="AR63" i="38"/>
  <c r="AN63" i="38"/>
  <c r="AM63" i="38"/>
  <c r="AL63" i="38"/>
  <c r="AH63" i="38"/>
  <c r="AG63" i="38"/>
  <c r="AF63" i="38"/>
  <c r="AE63" i="38"/>
  <c r="AC63" i="38"/>
  <c r="AB63" i="38"/>
  <c r="AZ42" i="38"/>
  <c r="AY42" i="38"/>
  <c r="AX42" i="38"/>
  <c r="AW42" i="38"/>
  <c r="AV42" i="38"/>
  <c r="AU42" i="38"/>
  <c r="AT42" i="38"/>
  <c r="AS42" i="38"/>
  <c r="AR42" i="38"/>
  <c r="AQ42" i="38"/>
  <c r="AP42" i="38"/>
  <c r="AO42" i="38"/>
  <c r="AN42" i="38"/>
  <c r="AM42" i="38"/>
  <c r="AL42" i="38"/>
  <c r="AK42" i="38"/>
  <c r="AJ42" i="38"/>
  <c r="AI42" i="38"/>
  <c r="AH42" i="38"/>
  <c r="AG42" i="38"/>
  <c r="AF42" i="38"/>
  <c r="AE42" i="38"/>
  <c r="AD42" i="38"/>
  <c r="AC42" i="38"/>
  <c r="AB42" i="38"/>
  <c r="AA42" i="38"/>
  <c r="Z42" i="38"/>
  <c r="Y42" i="38"/>
  <c r="X42" i="38"/>
  <c r="I31" i="38"/>
  <c r="H31" i="38"/>
  <c r="BD22" i="38"/>
  <c r="BA15" i="38"/>
  <c r="BA16" i="38" s="1"/>
  <c r="N16" i="38"/>
  <c r="O16" i="38"/>
  <c r="P16" i="38"/>
  <c r="Q16" i="38"/>
  <c r="R16" i="38"/>
  <c r="S16" i="38"/>
  <c r="T16" i="38"/>
  <c r="U16" i="38"/>
  <c r="V16" i="38"/>
  <c r="W16" i="38"/>
  <c r="X16" i="38"/>
  <c r="Y16" i="38"/>
  <c r="Z16" i="38"/>
  <c r="AA16" i="38"/>
  <c r="AB16" i="38"/>
  <c r="AC16" i="38"/>
  <c r="AD16" i="38"/>
  <c r="AE16" i="38"/>
  <c r="AF16" i="38"/>
  <c r="AG16" i="38"/>
  <c r="AH16" i="38"/>
  <c r="AI16" i="38"/>
  <c r="AJ16" i="38"/>
  <c r="AK16" i="38"/>
  <c r="AL16" i="38"/>
  <c r="AM16" i="38"/>
  <c r="AN16" i="38"/>
  <c r="AO16" i="38"/>
  <c r="AP16" i="38"/>
  <c r="AQ16" i="38"/>
  <c r="AR16" i="38"/>
  <c r="AS16" i="38"/>
  <c r="AT16" i="38"/>
  <c r="AU16" i="38"/>
  <c r="AV16" i="38"/>
  <c r="AW16" i="38"/>
  <c r="AX16" i="38"/>
  <c r="AY16" i="38"/>
  <c r="M16" i="38"/>
  <c r="K24" i="38"/>
  <c r="M21" i="38"/>
  <c r="M20" i="38"/>
  <c r="M19" i="38"/>
  <c r="M18" i="38"/>
  <c r="BA20" i="38"/>
  <c r="BA21" i="38"/>
  <c r="BA19" i="38"/>
  <c r="BA18" i="38"/>
  <c r="AY21" i="38"/>
  <c r="AV21" i="38"/>
  <c r="AT21" i="38"/>
  <c r="AS21" i="38"/>
  <c r="AR21" i="38"/>
  <c r="AQ21" i="38"/>
  <c r="AP21" i="38"/>
  <c r="AN21" i="38"/>
  <c r="AM21" i="38"/>
  <c r="AL21" i="38"/>
  <c r="AK21" i="38"/>
  <c r="AJ21" i="38"/>
  <c r="AH21" i="38"/>
  <c r="AG21" i="38"/>
  <c r="AF21" i="38"/>
  <c r="AE21" i="38"/>
  <c r="AD21" i="38"/>
  <c r="AB21" i="38"/>
  <c r="AA21" i="38"/>
  <c r="Z21" i="38"/>
  <c r="Y21" i="38"/>
  <c r="X21" i="38"/>
  <c r="W21" i="38"/>
  <c r="V21" i="38"/>
  <c r="U21" i="38"/>
  <c r="T21" i="38"/>
  <c r="S21" i="38"/>
  <c r="R21" i="38"/>
  <c r="Q21" i="38"/>
  <c r="O21" i="38"/>
  <c r="AY20" i="38"/>
  <c r="AV20" i="38"/>
  <c r="AT20" i="38"/>
  <c r="AS20" i="38"/>
  <c r="AR20" i="38"/>
  <c r="AQ20" i="38"/>
  <c r="AP20" i="38"/>
  <c r="AN20" i="38"/>
  <c r="AM20" i="38"/>
  <c r="AL20" i="38"/>
  <c r="AK20" i="38"/>
  <c r="AJ20" i="38"/>
  <c r="AH20" i="38"/>
  <c r="AG20" i="38"/>
  <c r="AF20" i="38"/>
  <c r="AE20" i="38"/>
  <c r="AD20" i="38"/>
  <c r="AB20" i="38"/>
  <c r="AA20" i="38"/>
  <c r="Z20" i="38"/>
  <c r="Y20" i="38"/>
  <c r="X20" i="38"/>
  <c r="W20" i="38"/>
  <c r="V20" i="38"/>
  <c r="U20" i="38"/>
  <c r="T20" i="38"/>
  <c r="S20" i="38"/>
  <c r="R20" i="38"/>
  <c r="Q20" i="38"/>
  <c r="O20" i="38"/>
  <c r="AY19" i="38"/>
  <c r="AV19" i="38"/>
  <c r="AT19" i="38"/>
  <c r="AS19" i="38"/>
  <c r="AR19" i="38"/>
  <c r="AQ19" i="38"/>
  <c r="AP19" i="38"/>
  <c r="AN19" i="38"/>
  <c r="AM19" i="38"/>
  <c r="AL19" i="38"/>
  <c r="AK19" i="38"/>
  <c r="AJ19" i="38"/>
  <c r="AH19" i="38"/>
  <c r="AG19" i="38"/>
  <c r="AF19" i="38"/>
  <c r="AE19" i="38"/>
  <c r="AD19" i="38"/>
  <c r="AB19" i="38"/>
  <c r="AA19" i="38"/>
  <c r="Z19" i="38"/>
  <c r="Y19" i="38"/>
  <c r="X19" i="38"/>
  <c r="W19" i="38"/>
  <c r="V19" i="38"/>
  <c r="U19" i="38"/>
  <c r="T19" i="38"/>
  <c r="S19" i="38"/>
  <c r="R19" i="38"/>
  <c r="Q19" i="38"/>
  <c r="O19" i="38"/>
  <c r="AY18" i="38"/>
  <c r="AV18" i="38"/>
  <c r="AT18" i="38"/>
  <c r="AS18" i="38"/>
  <c r="AR18" i="38"/>
  <c r="AQ18" i="38"/>
  <c r="AP18" i="38"/>
  <c r="AN18" i="38"/>
  <c r="AM18" i="38"/>
  <c r="AL18" i="38"/>
  <c r="AK18" i="38"/>
  <c r="AJ18" i="38"/>
  <c r="AH18" i="38"/>
  <c r="AG18" i="38"/>
  <c r="AF18" i="38"/>
  <c r="AE18" i="38"/>
  <c r="AD18" i="38"/>
  <c r="AB18" i="38"/>
  <c r="AA18" i="38"/>
  <c r="Z18" i="38"/>
  <c r="Y18" i="38"/>
  <c r="X18" i="38"/>
  <c r="W18" i="38"/>
  <c r="V18" i="38"/>
  <c r="U18" i="38"/>
  <c r="T18" i="38"/>
  <c r="S18" i="38"/>
  <c r="R18" i="38"/>
  <c r="Q18" i="38"/>
  <c r="O18" i="38"/>
  <c r="N21" i="38"/>
  <c r="N20" i="38"/>
  <c r="N19" i="38"/>
  <c r="N18" i="38"/>
  <c r="H24" i="38"/>
  <c r="BD8" i="38"/>
  <c r="BD9" i="38"/>
  <c r="BD10" i="38"/>
  <c r="BD11" i="38"/>
  <c r="BD12" i="38"/>
  <c r="P7" i="38"/>
  <c r="BD7" i="38" s="1"/>
  <c r="AC21" i="38"/>
  <c r="AI21" i="38"/>
  <c r="AO21" i="38"/>
  <c r="AU21" i="38"/>
  <c r="AW19" i="38"/>
  <c r="AX21" i="38"/>
  <c r="D5" i="33" l="1"/>
  <c r="W95" i="44"/>
  <c r="AA95" i="44"/>
  <c r="S95" i="44"/>
  <c r="Z24" i="38"/>
  <c r="Z25" i="38" s="1"/>
  <c r="AN24" i="38"/>
  <c r="AN25" i="38" s="1"/>
  <c r="AA24" i="38"/>
  <c r="AA25" i="38" s="1"/>
  <c r="AP24" i="38"/>
  <c r="AP25" i="38" s="1"/>
  <c r="O24" i="38"/>
  <c r="AB24" i="38"/>
  <c r="AB25" i="38" s="1"/>
  <c r="Q24" i="38"/>
  <c r="AD24" i="38"/>
  <c r="AD25" i="38" s="1"/>
  <c r="M24" i="38"/>
  <c r="Y24" i="38"/>
  <c r="Y25" i="38" s="1"/>
  <c r="AM24" i="38"/>
  <c r="AM25" i="38" s="1"/>
  <c r="AI20" i="38"/>
  <c r="AW20" i="38"/>
  <c r="AC18" i="38"/>
  <c r="AK24" i="38"/>
  <c r="AK25" i="38" s="1"/>
  <c r="R24" i="38"/>
  <c r="AX20" i="38"/>
  <c r="S24" i="38"/>
  <c r="AI19" i="38"/>
  <c r="AX19" i="38"/>
  <c r="T24" i="38"/>
  <c r="AF24" i="38"/>
  <c r="AF25" i="38" s="1"/>
  <c r="AE24" i="38"/>
  <c r="AE25" i="38" s="1"/>
  <c r="U24" i="38"/>
  <c r="AG24" i="38"/>
  <c r="AG25" i="38" s="1"/>
  <c r="V24" i="38"/>
  <c r="AH24" i="38"/>
  <c r="AH25" i="38" s="1"/>
  <c r="AU18" i="38"/>
  <c r="AL24" i="38"/>
  <c r="AL25" i="38" s="1"/>
  <c r="W24" i="38"/>
  <c r="AI18" i="38"/>
  <c r="AW21" i="38"/>
  <c r="N24" i="38"/>
  <c r="X24" i="38"/>
  <c r="AJ24" i="38"/>
  <c r="AJ25" i="38" s="1"/>
  <c r="AW18" i="38"/>
  <c r="AU20" i="38"/>
  <c r="AU19" i="38"/>
  <c r="AX18" i="38"/>
  <c r="AO18" i="38"/>
  <c r="P19" i="38"/>
  <c r="AC19" i="38"/>
  <c r="AO19" i="38"/>
  <c r="P20" i="38"/>
  <c r="AC20" i="38"/>
  <c r="AO20" i="38"/>
  <c r="P21" i="38"/>
  <c r="P18" i="38"/>
  <c r="BD13" i="38"/>
  <c r="I24" i="38"/>
  <c r="V25" i="38" l="1"/>
  <c r="V88" i="38" s="1"/>
  <c r="V87" i="38"/>
  <c r="O25" i="38"/>
  <c r="O88" i="38" s="1"/>
  <c r="O87" i="38"/>
  <c r="M25" i="38"/>
  <c r="M88" i="38" s="1"/>
  <c r="M87" i="38"/>
  <c r="R25" i="38"/>
  <c r="R88" i="38" s="1"/>
  <c r="R87" i="38"/>
  <c r="Q25" i="38"/>
  <c r="Q88" i="38" s="1"/>
  <c r="Q87" i="38"/>
  <c r="T25" i="38"/>
  <c r="T88" i="38" s="1"/>
  <c r="T87" i="38"/>
  <c r="W25" i="38"/>
  <c r="W88" i="38" s="1"/>
  <c r="W87" i="38"/>
  <c r="U25" i="38"/>
  <c r="U88" i="38" s="1"/>
  <c r="U87" i="38"/>
  <c r="X25" i="38"/>
  <c r="X88" i="38" s="1"/>
  <c r="X87" i="38"/>
  <c r="S25" i="38"/>
  <c r="S88" i="38" s="1"/>
  <c r="S87" i="38"/>
  <c r="N25" i="38"/>
  <c r="N88" i="38" s="1"/>
  <c r="N87" i="38"/>
  <c r="AA96" i="44"/>
  <c r="AA97" i="44" s="1"/>
  <c r="H5" i="33"/>
  <c r="W96" i="44"/>
  <c r="W97" i="44" s="1"/>
  <c r="G5" i="33"/>
  <c r="S96" i="44"/>
  <c r="S97" i="44" s="1"/>
  <c r="F5" i="33"/>
  <c r="O95" i="44"/>
  <c r="G95" i="44"/>
  <c r="K96" i="44"/>
  <c r="K97" i="44" s="1"/>
  <c r="BD20" i="38"/>
  <c r="AI24" i="38"/>
  <c r="AI25" i="38" s="1"/>
  <c r="BD19" i="38"/>
  <c r="BD18" i="38"/>
  <c r="BE18" i="38" s="1"/>
  <c r="BD21" i="38"/>
  <c r="AC24" i="38"/>
  <c r="AC25" i="38" s="1"/>
  <c r="AO24" i="38"/>
  <c r="AO25" i="38" s="1"/>
  <c r="P24" i="38"/>
  <c r="S26" i="38" l="1"/>
  <c r="P25" i="38"/>
  <c r="M26" i="38" s="1"/>
  <c r="P87" i="38"/>
  <c r="O96" i="44"/>
  <c r="O97" i="44" s="1"/>
  <c r="E5" i="33"/>
  <c r="C5" i="33"/>
  <c r="G96" i="44"/>
  <c r="G97" i="44" s="1"/>
  <c r="P88" i="38" l="1"/>
  <c r="M89" i="38"/>
  <c r="B17" i="33" l="1"/>
  <c r="B58" i="38" s="1"/>
  <c r="B77" i="38" s="1"/>
  <c r="B18" i="33"/>
  <c r="B57" i="38" s="1"/>
  <c r="B76" i="38" s="1"/>
  <c r="B19" i="33"/>
  <c r="B56" i="38" s="1"/>
  <c r="B75" i="38" s="1"/>
  <c r="C3" i="43"/>
  <c r="C3" i="42"/>
  <c r="C3" i="41"/>
  <c r="AA45" i="41" l="1"/>
  <c r="AA46" i="41" s="1"/>
  <c r="H19" i="33"/>
  <c r="H56" i="38" s="1"/>
  <c r="W45" i="41"/>
  <c r="W46" i="41" s="1"/>
  <c r="G19" i="33"/>
  <c r="G56" i="38" s="1"/>
  <c r="S45" i="41"/>
  <c r="S46" i="41" s="1"/>
  <c r="F19" i="33"/>
  <c r="F56" i="38" s="1"/>
  <c r="K45" i="41"/>
  <c r="K46" i="41" s="1"/>
  <c r="D19" i="33"/>
  <c r="D56" i="38" s="1"/>
  <c r="C44" i="38"/>
  <c r="O45" i="41"/>
  <c r="O46" i="41" s="1"/>
  <c r="E19" i="33"/>
  <c r="E56" i="38" s="1"/>
  <c r="AV75" i="38" l="1"/>
  <c r="H75" i="38"/>
  <c r="AW75" i="38"/>
  <c r="AS75" i="38"/>
  <c r="AU75" i="38"/>
  <c r="G75" i="38"/>
  <c r="AR75" i="38"/>
  <c r="AT75" i="38"/>
  <c r="F75" i="38"/>
  <c r="AL75" i="38"/>
  <c r="AO75" i="38"/>
  <c r="AM75" i="38"/>
  <c r="AN75" i="38"/>
  <c r="D75" i="38"/>
  <c r="AC75" i="38"/>
  <c r="AB75" i="38"/>
  <c r="D18" i="33"/>
  <c r="D57" i="38" s="1"/>
  <c r="E18" i="33"/>
  <c r="E57" i="38" s="1"/>
  <c r="F18" i="33"/>
  <c r="F57" i="38" s="1"/>
  <c r="C18" i="33"/>
  <c r="G18" i="33"/>
  <c r="G57" i="38" s="1"/>
  <c r="H18" i="33"/>
  <c r="H57" i="38" s="1"/>
  <c r="I44" i="38"/>
  <c r="C63" i="38"/>
  <c r="AG75" i="38"/>
  <c r="E75" i="38"/>
  <c r="AH75" i="38"/>
  <c r="AF75" i="38"/>
  <c r="AI75" i="38"/>
  <c r="G45" i="41"/>
  <c r="G46" i="41" s="1"/>
  <c r="C19" i="33"/>
  <c r="B22" i="33"/>
  <c r="B61" i="38" s="1"/>
  <c r="B80" i="38" s="1"/>
  <c r="B13" i="33"/>
  <c r="B52" i="38" s="1"/>
  <c r="B71" i="38" s="1"/>
  <c r="AA8" i="40"/>
  <c r="W8" i="40"/>
  <c r="S8" i="40"/>
  <c r="O8" i="40"/>
  <c r="K8" i="40"/>
  <c r="E8" i="40"/>
  <c r="AA7" i="40"/>
  <c r="W7" i="40"/>
  <c r="S7" i="40"/>
  <c r="O7" i="40"/>
  <c r="K7" i="40"/>
  <c r="E7" i="40"/>
  <c r="C3" i="40"/>
  <c r="AA11" i="39"/>
  <c r="W11" i="39"/>
  <c r="S11" i="39"/>
  <c r="O11" i="39"/>
  <c r="K11" i="39"/>
  <c r="E11" i="39"/>
  <c r="AA10" i="39"/>
  <c r="W10" i="39"/>
  <c r="S10" i="39"/>
  <c r="O10" i="39"/>
  <c r="K10" i="39"/>
  <c r="E10" i="39"/>
  <c r="AA8" i="39"/>
  <c r="W8" i="39"/>
  <c r="S8" i="39"/>
  <c r="O8" i="39"/>
  <c r="K8" i="39"/>
  <c r="E8" i="39"/>
  <c r="AA7" i="39"/>
  <c r="W7" i="39"/>
  <c r="S7" i="39"/>
  <c r="O7" i="39"/>
  <c r="K7" i="39"/>
  <c r="C3" i="39"/>
  <c r="K15" i="39" l="1"/>
  <c r="AB76" i="38"/>
  <c r="Z76" i="38"/>
  <c r="Y76" i="38"/>
  <c r="AA76" i="38"/>
  <c r="D76" i="38"/>
  <c r="AG76" i="38"/>
  <c r="AI76" i="38"/>
  <c r="AF76" i="38"/>
  <c r="AD76" i="38"/>
  <c r="E76" i="38"/>
  <c r="AE76" i="38"/>
  <c r="AH76" i="38"/>
  <c r="AJ76" i="38"/>
  <c r="F76" i="38"/>
  <c r="AM76" i="38"/>
  <c r="AN76" i="38"/>
  <c r="AO76" i="38"/>
  <c r="AK76" i="38"/>
  <c r="AL76" i="38"/>
  <c r="AS76" i="38"/>
  <c r="AR76" i="38"/>
  <c r="AQ76" i="38"/>
  <c r="AT76" i="38"/>
  <c r="AP76" i="38"/>
  <c r="G76" i="38"/>
  <c r="AU76" i="38"/>
  <c r="C57" i="38"/>
  <c r="AV76" i="38"/>
  <c r="H76" i="38"/>
  <c r="AW76" i="38"/>
  <c r="I63" i="38"/>
  <c r="AX63" i="38"/>
  <c r="C56" i="38"/>
  <c r="G8" i="39"/>
  <c r="G7" i="40"/>
  <c r="G8" i="40"/>
  <c r="AA10" i="40"/>
  <c r="O10" i="40"/>
  <c r="O15" i="40" s="1"/>
  <c r="E22" i="33" s="1"/>
  <c r="E61" i="38" s="1"/>
  <c r="E80" i="38" s="1"/>
  <c r="S10" i="40"/>
  <c r="S15" i="40" s="1"/>
  <c r="W10" i="40"/>
  <c r="W15" i="40" s="1"/>
  <c r="K10" i="40"/>
  <c r="K15" i="40" s="1"/>
  <c r="W15" i="39"/>
  <c r="AA15" i="39"/>
  <c r="G10" i="39"/>
  <c r="O15" i="39"/>
  <c r="G7" i="39"/>
  <c r="E7" i="39"/>
  <c r="G11" i="39"/>
  <c r="I57" i="38" l="1"/>
  <c r="C76" i="38"/>
  <c r="W16" i="40"/>
  <c r="W17" i="40" s="1"/>
  <c r="G22" i="33"/>
  <c r="G61" i="38" s="1"/>
  <c r="S16" i="40"/>
  <c r="S17" i="40" s="1"/>
  <c r="F22" i="33"/>
  <c r="F61" i="38" s="1"/>
  <c r="O16" i="40"/>
  <c r="O17" i="40" s="1"/>
  <c r="AI80" i="38"/>
  <c r="D22" i="33"/>
  <c r="D61" i="38" s="1"/>
  <c r="I56" i="38"/>
  <c r="C75" i="38"/>
  <c r="AA15" i="40"/>
  <c r="G10" i="40"/>
  <c r="K16" i="40"/>
  <c r="K17" i="40" s="1"/>
  <c r="S15" i="39"/>
  <c r="G15" i="39" l="1"/>
  <c r="AX76" i="38"/>
  <c r="BD76" i="38" s="1"/>
  <c r="BE76" i="38" s="1"/>
  <c r="I76" i="38"/>
  <c r="AA16" i="40"/>
  <c r="AA17" i="40" s="1"/>
  <c r="H22" i="33"/>
  <c r="H61" i="38" s="1"/>
  <c r="G15" i="40"/>
  <c r="C22" i="33" s="1"/>
  <c r="C61" i="38" s="1"/>
  <c r="AU80" i="38"/>
  <c r="G80" i="38"/>
  <c r="F80" i="38"/>
  <c r="AO80" i="38"/>
  <c r="AC80" i="38"/>
  <c r="D80" i="38"/>
  <c r="AX75" i="38"/>
  <c r="BD75" i="38" s="1"/>
  <c r="BE75" i="38" s="1"/>
  <c r="I75" i="38"/>
  <c r="Z18" i="39" l="1"/>
  <c r="AA18" i="39" s="1"/>
  <c r="AA23" i="39" s="1"/>
  <c r="J18" i="39"/>
  <c r="K18" i="39" s="1"/>
  <c r="K23" i="39" s="1"/>
  <c r="N18" i="39"/>
  <c r="O18" i="39" s="1"/>
  <c r="O23" i="39" s="1"/>
  <c r="G18" i="39"/>
  <c r="G23" i="39" s="1"/>
  <c r="R18" i="39"/>
  <c r="S18" i="39" s="1"/>
  <c r="S23" i="39" s="1"/>
  <c r="V18" i="39"/>
  <c r="W18" i="39" s="1"/>
  <c r="W23" i="39" s="1"/>
  <c r="H80" i="38"/>
  <c r="AW80" i="38"/>
  <c r="G16" i="40"/>
  <c r="G17" i="40" s="1"/>
  <c r="C80" i="38"/>
  <c r="I61" i="38"/>
  <c r="H13" i="33" l="1"/>
  <c r="H52" i="38" s="1"/>
  <c r="AA24" i="39"/>
  <c r="AA25" i="39" s="1"/>
  <c r="G13" i="33"/>
  <c r="G52" i="38" s="1"/>
  <c r="W24" i="39"/>
  <c r="W25" i="39" s="1"/>
  <c r="S24" i="39"/>
  <c r="S25" i="39" s="1"/>
  <c r="F13" i="33"/>
  <c r="F52" i="38" s="1"/>
  <c r="O24" i="39"/>
  <c r="O25" i="39" s="1"/>
  <c r="E13" i="33"/>
  <c r="E52" i="38" s="1"/>
  <c r="D13" i="33"/>
  <c r="D52" i="38" s="1"/>
  <c r="K24" i="39"/>
  <c r="K25" i="39" s="1"/>
  <c r="C13" i="33"/>
  <c r="C52" i="38" s="1"/>
  <c r="G24" i="39"/>
  <c r="G25" i="39" s="1"/>
  <c r="I80" i="38"/>
  <c r="AX80" i="38"/>
  <c r="BD80" i="38" s="1"/>
  <c r="BE80" i="38" s="1"/>
  <c r="AV71" i="38" l="1"/>
  <c r="AW71" i="38"/>
  <c r="H71" i="38"/>
  <c r="AS71" i="38"/>
  <c r="G71" i="38"/>
  <c r="AT71" i="38"/>
  <c r="F71" i="38"/>
  <c r="AN71" i="38"/>
  <c r="AM71" i="38"/>
  <c r="E71" i="38"/>
  <c r="AH71" i="38"/>
  <c r="AG71" i="38"/>
  <c r="AA71" i="38"/>
  <c r="D71" i="38"/>
  <c r="I52" i="38"/>
  <c r="C71" i="38"/>
  <c r="W102" i="32"/>
  <c r="W103" i="32" s="1"/>
  <c r="S102" i="32"/>
  <c r="S103" i="32" s="1"/>
  <c r="AA102" i="32"/>
  <c r="AA103" i="32" s="1"/>
  <c r="O102" i="32"/>
  <c r="O103" i="32" s="1"/>
  <c r="AX71" i="38" l="1"/>
  <c r="BD71" i="38" s="1"/>
  <c r="BE71" i="38" s="1"/>
  <c r="I71" i="38"/>
  <c r="C21" i="33"/>
  <c r="C60" i="38" s="1"/>
  <c r="C59" i="38"/>
  <c r="I59" i="38" l="1"/>
  <c r="C78" i="38"/>
  <c r="C79" i="38"/>
  <c r="I60" i="38"/>
  <c r="AY24" i="38"/>
  <c r="BA24" i="38"/>
  <c r="BA25" i="38" l="1"/>
  <c r="BA26" i="38" s="1"/>
  <c r="BA89" i="38" s="1"/>
  <c r="BA87" i="38"/>
  <c r="AY25" i="38"/>
  <c r="AY88" i="38" s="1"/>
  <c r="AY87" i="38"/>
  <c r="AX78" i="38"/>
  <c r="I78" i="38"/>
  <c r="I79" i="38"/>
  <c r="AX79" i="38"/>
  <c r="BA88" i="38" l="1"/>
  <c r="H44" i="38"/>
  <c r="G44" i="38"/>
  <c r="F44" i="38"/>
  <c r="E44" i="38"/>
  <c r="D44" i="38"/>
  <c r="D63" i="38" l="1"/>
  <c r="AA63" i="38"/>
  <c r="Y63" i="38"/>
  <c r="Z63" i="38"/>
  <c r="F63" i="38"/>
  <c r="AJ63" i="38"/>
  <c r="AK63" i="38"/>
  <c r="AO63" i="38"/>
  <c r="E63" i="38"/>
  <c r="AD63" i="38"/>
  <c r="AI63" i="38"/>
  <c r="AQ63" i="38"/>
  <c r="AU63" i="38"/>
  <c r="AP63" i="38"/>
  <c r="G63" i="38"/>
  <c r="AW63" i="38"/>
  <c r="H63" i="38"/>
  <c r="BD63" i="38" l="1"/>
  <c r="BE63" i="38" s="1"/>
  <c r="E15" i="27" l="1"/>
  <c r="E14" i="27"/>
  <c r="AA20" i="27"/>
  <c r="W20" i="27"/>
  <c r="S20" i="27"/>
  <c r="O20" i="27"/>
  <c r="K20" i="27"/>
  <c r="E20" i="27"/>
  <c r="AA18" i="27"/>
  <c r="W18" i="27"/>
  <c r="S18" i="27"/>
  <c r="O18" i="27"/>
  <c r="K18" i="27"/>
  <c r="E18" i="27"/>
  <c r="AA17" i="27"/>
  <c r="W17" i="27"/>
  <c r="S17" i="27"/>
  <c r="O17" i="27"/>
  <c r="K17" i="27"/>
  <c r="E17" i="27"/>
  <c r="G17" i="27" l="1"/>
  <c r="G18" i="27"/>
  <c r="G20" i="27"/>
  <c r="AA8" i="18" l="1"/>
  <c r="W8" i="18"/>
  <c r="S8" i="18"/>
  <c r="O8" i="18"/>
  <c r="K8" i="18"/>
  <c r="E8" i="18"/>
  <c r="G8" i="18" l="1"/>
  <c r="B16" i="33"/>
  <c r="B55" i="38" s="1"/>
  <c r="B74" i="38" s="1"/>
  <c r="B15" i="33"/>
  <c r="B54" i="38" s="1"/>
  <c r="B73" i="38" s="1"/>
  <c r="B14" i="33"/>
  <c r="B53" i="38" s="1"/>
  <c r="B72" i="38" s="1"/>
  <c r="B8" i="33"/>
  <c r="B47" i="38" s="1"/>
  <c r="B66" i="38" s="1"/>
  <c r="B9" i="33"/>
  <c r="B48" i="38" s="1"/>
  <c r="B67" i="38" s="1"/>
  <c r="B10" i="33"/>
  <c r="B49" i="38" s="1"/>
  <c r="B68" i="38" s="1"/>
  <c r="B11" i="33"/>
  <c r="B50" i="38" s="1"/>
  <c r="B69" i="38" s="1"/>
  <c r="B12" i="33"/>
  <c r="B51" i="38" s="1"/>
  <c r="B70" i="38" s="1"/>
  <c r="B7" i="33"/>
  <c r="B46" i="38" s="1"/>
  <c r="B65" i="38" s="1"/>
  <c r="B6" i="33"/>
  <c r="B45" i="38" s="1"/>
  <c r="B64" i="38" s="1"/>
  <c r="B21" i="33"/>
  <c r="B60" i="38" s="1"/>
  <c r="B79" i="38" s="1"/>
  <c r="B20" i="33"/>
  <c r="B59" i="38" s="1"/>
  <c r="B78" i="38" s="1"/>
  <c r="B44" i="38"/>
  <c r="B63" i="38" s="1"/>
  <c r="C3" i="33"/>
  <c r="C3" i="32"/>
  <c r="C3" i="31"/>
  <c r="AA16" i="27"/>
  <c r="W16" i="27"/>
  <c r="S16" i="27"/>
  <c r="O16" i="27"/>
  <c r="K16" i="27"/>
  <c r="E16" i="27"/>
  <c r="AA15" i="27"/>
  <c r="W15" i="27"/>
  <c r="S15" i="27"/>
  <c r="O15" i="27"/>
  <c r="K15" i="27"/>
  <c r="AA14" i="27"/>
  <c r="W14" i="27"/>
  <c r="S14" i="27"/>
  <c r="O14" i="27"/>
  <c r="K14" i="27"/>
  <c r="AA13" i="27"/>
  <c r="W13" i="27"/>
  <c r="S13" i="27"/>
  <c r="O13" i="27"/>
  <c r="K13" i="27"/>
  <c r="E13" i="27"/>
  <c r="AA7" i="27"/>
  <c r="W7" i="27"/>
  <c r="S7" i="27"/>
  <c r="O7" i="27"/>
  <c r="K7" i="27"/>
  <c r="K9" i="27" s="1"/>
  <c r="E7" i="27"/>
  <c r="C3" i="27"/>
  <c r="C3" i="26"/>
  <c r="C3" i="24"/>
  <c r="C3" i="23"/>
  <c r="C3" i="22"/>
  <c r="C3" i="21"/>
  <c r="C3" i="20"/>
  <c r="C3" i="19"/>
  <c r="AA9" i="18"/>
  <c r="W9" i="18"/>
  <c r="S9" i="18"/>
  <c r="O9" i="18"/>
  <c r="K9" i="18"/>
  <c r="E9" i="18"/>
  <c r="AA7" i="18"/>
  <c r="W7" i="18"/>
  <c r="S7" i="18"/>
  <c r="O7" i="18"/>
  <c r="K7" i="18"/>
  <c r="E7" i="18"/>
  <c r="C3" i="18"/>
  <c r="C3" i="17"/>
  <c r="K11" i="18" l="1"/>
  <c r="K16" i="18" s="1"/>
  <c r="K22" i="27"/>
  <c r="S22" i="27"/>
  <c r="F21" i="33"/>
  <c r="F60" i="38" s="1"/>
  <c r="F59" i="38"/>
  <c r="H59" i="38"/>
  <c r="G59" i="38"/>
  <c r="AA37" i="20"/>
  <c r="O45" i="22"/>
  <c r="G14" i="27"/>
  <c r="G16" i="27"/>
  <c r="G13" i="27"/>
  <c r="W9" i="27"/>
  <c r="G15" i="27"/>
  <c r="G7" i="27"/>
  <c r="S9" i="27"/>
  <c r="O22" i="27"/>
  <c r="AA9" i="27"/>
  <c r="W22" i="27"/>
  <c r="AA22" i="27"/>
  <c r="G9" i="18"/>
  <c r="O11" i="18"/>
  <c r="O16" i="18" s="1"/>
  <c r="S11" i="18"/>
  <c r="S16" i="18" s="1"/>
  <c r="AA11" i="18"/>
  <c r="AA16" i="18" s="1"/>
  <c r="G7" i="18"/>
  <c r="O9" i="27"/>
  <c r="W11" i="18"/>
  <c r="K45" i="22" l="1"/>
  <c r="G22" i="27"/>
  <c r="O27" i="27"/>
  <c r="AA27" i="27"/>
  <c r="H16" i="33" s="1"/>
  <c r="H55" i="38" s="1"/>
  <c r="AW74" i="38" s="1"/>
  <c r="K27" i="27"/>
  <c r="D16" i="33" s="1"/>
  <c r="D55" i="38" s="1"/>
  <c r="D74" i="38" s="1"/>
  <c r="E16" i="33"/>
  <c r="E55" i="38" s="1"/>
  <c r="AI74" i="38" s="1"/>
  <c r="W16" i="18"/>
  <c r="G11" i="33" s="1"/>
  <c r="G50" i="38" s="1"/>
  <c r="AA38" i="20"/>
  <c r="AA39" i="20" s="1"/>
  <c r="H8" i="33"/>
  <c r="H47" i="38" s="1"/>
  <c r="W37" i="20"/>
  <c r="AS78" i="38"/>
  <c r="AT78" i="38"/>
  <c r="AQ78" i="38"/>
  <c r="AR78" i="38"/>
  <c r="G78" i="38"/>
  <c r="AU78" i="38"/>
  <c r="AP78" i="38"/>
  <c r="AV78" i="38"/>
  <c r="H78" i="38"/>
  <c r="AW78" i="38"/>
  <c r="F79" i="38"/>
  <c r="AL79" i="38"/>
  <c r="AK79" i="38"/>
  <c r="AN79" i="38"/>
  <c r="AJ79" i="38"/>
  <c r="AM79" i="38"/>
  <c r="AO79" i="38"/>
  <c r="F78" i="38"/>
  <c r="AJ78" i="38"/>
  <c r="AO78" i="38"/>
  <c r="AN78" i="38"/>
  <c r="AM78" i="38"/>
  <c r="AK78" i="38"/>
  <c r="AL78" i="38"/>
  <c r="AA112" i="19"/>
  <c r="AA113" i="19" s="1"/>
  <c r="K112" i="19"/>
  <c r="K113" i="19" s="1"/>
  <c r="D7" i="33"/>
  <c r="D46" i="38" s="1"/>
  <c r="W112" i="19"/>
  <c r="W113" i="19" s="1"/>
  <c r="G7" i="33"/>
  <c r="G46" i="38" s="1"/>
  <c r="S112" i="19"/>
  <c r="S113" i="19" s="1"/>
  <c r="F7" i="33"/>
  <c r="F46" i="38" s="1"/>
  <c r="W27" i="27"/>
  <c r="G16" i="33" s="1"/>
  <c r="G55" i="38" s="1"/>
  <c r="S27" i="27"/>
  <c r="O17" i="18"/>
  <c r="O18" i="18" s="1"/>
  <c r="E11" i="33"/>
  <c r="E50" i="38" s="1"/>
  <c r="S17" i="18"/>
  <c r="S18" i="18" s="1"/>
  <c r="F11" i="33"/>
  <c r="F50" i="38" s="1"/>
  <c r="O29" i="17"/>
  <c r="O30" i="17" s="1"/>
  <c r="S29" i="17"/>
  <c r="S30" i="17" s="1"/>
  <c r="F6" i="33"/>
  <c r="F45" i="38" s="1"/>
  <c r="W29" i="17"/>
  <c r="W30" i="17" s="1"/>
  <c r="G6" i="33"/>
  <c r="G45" i="38" s="1"/>
  <c r="AA29" i="17"/>
  <c r="AA30" i="17" s="1"/>
  <c r="H6" i="33"/>
  <c r="H45" i="38" s="1"/>
  <c r="H21" i="33"/>
  <c r="H60" i="38" s="1"/>
  <c r="K102" i="32"/>
  <c r="K103" i="32" s="1"/>
  <c r="D21" i="33"/>
  <c r="D60" i="38" s="1"/>
  <c r="G21" i="33"/>
  <c r="G60" i="38" s="1"/>
  <c r="E59" i="38"/>
  <c r="D59" i="38"/>
  <c r="O46" i="22"/>
  <c r="O47" i="22" s="1"/>
  <c r="E9" i="33"/>
  <c r="E48" i="38" s="1"/>
  <c r="S37" i="20"/>
  <c r="S38" i="20" s="1"/>
  <c r="S39" i="20" s="1"/>
  <c r="W45" i="22"/>
  <c r="S45" i="22"/>
  <c r="AA45" i="22"/>
  <c r="G9" i="27"/>
  <c r="G102" i="32"/>
  <c r="G103" i="32" s="1"/>
  <c r="O37" i="20"/>
  <c r="G11" i="18"/>
  <c r="G16" i="18" s="1"/>
  <c r="H74" i="38" l="1"/>
  <c r="AA28" i="27"/>
  <c r="AA29" i="27" s="1"/>
  <c r="G27" i="27"/>
  <c r="K28" i="27"/>
  <c r="K29" i="27" s="1"/>
  <c r="AC74" i="38"/>
  <c r="O28" i="27"/>
  <c r="O29" i="27" s="1"/>
  <c r="W17" i="18"/>
  <c r="W18" i="18" s="1"/>
  <c r="G122" i="24"/>
  <c r="G123" i="24" s="1"/>
  <c r="E74" i="38"/>
  <c r="AP69" i="38"/>
  <c r="G69" i="38"/>
  <c r="F8" i="33"/>
  <c r="F47" i="38" s="1"/>
  <c r="AM66" i="38" s="1"/>
  <c r="G58" i="23"/>
  <c r="G59" i="23" s="1"/>
  <c r="G60" i="23" s="1"/>
  <c r="AW66" i="38"/>
  <c r="H66" i="38"/>
  <c r="W38" i="20"/>
  <c r="W39" i="20" s="1"/>
  <c r="G8" i="33"/>
  <c r="G47" i="38" s="1"/>
  <c r="D79" i="38"/>
  <c r="AA79" i="38"/>
  <c r="Y79" i="38"/>
  <c r="AB79" i="38"/>
  <c r="AC79" i="38"/>
  <c r="Z79" i="38"/>
  <c r="AS79" i="38"/>
  <c r="G79" i="38"/>
  <c r="AQ79" i="38"/>
  <c r="AP79" i="38"/>
  <c r="AR79" i="38"/>
  <c r="AT79" i="38"/>
  <c r="AU79" i="38"/>
  <c r="AV79" i="38"/>
  <c r="AW79" i="38"/>
  <c r="H79" i="38"/>
  <c r="F69" i="38"/>
  <c r="AJ69" i="38"/>
  <c r="E69" i="38"/>
  <c r="AD69" i="38"/>
  <c r="AU74" i="38"/>
  <c r="G74" i="38"/>
  <c r="AG78" i="38"/>
  <c r="AD78" i="38"/>
  <c r="AH78" i="38"/>
  <c r="AE78" i="38"/>
  <c r="E78" i="38"/>
  <c r="AF78" i="38"/>
  <c r="AI78" i="38"/>
  <c r="AP64" i="38"/>
  <c r="G64" i="38"/>
  <c r="D78" i="38"/>
  <c r="AA78" i="38"/>
  <c r="Y78" i="38"/>
  <c r="AB78" i="38"/>
  <c r="Z78" i="38"/>
  <c r="H64" i="38"/>
  <c r="AW64" i="38"/>
  <c r="AG67" i="38"/>
  <c r="E67" i="38"/>
  <c r="AH67" i="38"/>
  <c r="AF67" i="38"/>
  <c r="F64" i="38"/>
  <c r="AJ64" i="38"/>
  <c r="C7" i="33"/>
  <c r="C46" i="38" s="1"/>
  <c r="I46" i="38" s="1"/>
  <c r="H7" i="33"/>
  <c r="H46" i="38" s="1"/>
  <c r="H65" i="38" s="1"/>
  <c r="AR65" i="38"/>
  <c r="G65" i="38"/>
  <c r="AP65" i="38"/>
  <c r="AQ65" i="38"/>
  <c r="F65" i="38"/>
  <c r="AL65" i="38"/>
  <c r="AK65" i="38"/>
  <c r="AJ65" i="38"/>
  <c r="AO65" i="38"/>
  <c r="D65" i="38"/>
  <c r="AC65" i="38"/>
  <c r="Z65" i="38"/>
  <c r="Y65" i="38"/>
  <c r="AA65" i="38"/>
  <c r="AB65" i="38"/>
  <c r="E6" i="33"/>
  <c r="E45" i="38" s="1"/>
  <c r="W122" i="24"/>
  <c r="W123" i="24" s="1"/>
  <c r="G14" i="33"/>
  <c r="G53" i="38" s="1"/>
  <c r="AA122" i="24"/>
  <c r="AA123" i="24" s="1"/>
  <c r="H14" i="33"/>
  <c r="H53" i="38" s="1"/>
  <c r="S122" i="24"/>
  <c r="S123" i="24" s="1"/>
  <c r="F14" i="33"/>
  <c r="F53" i="38" s="1"/>
  <c r="O122" i="24"/>
  <c r="O123" i="24" s="1"/>
  <c r="E14" i="33"/>
  <c r="E53" i="38" s="1"/>
  <c r="O112" i="19"/>
  <c r="O113" i="19" s="1"/>
  <c r="E7" i="33"/>
  <c r="E46" i="38" s="1"/>
  <c r="W28" i="27"/>
  <c r="W29" i="27" s="1"/>
  <c r="F16" i="33"/>
  <c r="F55" i="38" s="1"/>
  <c r="S28" i="27"/>
  <c r="S29" i="27" s="1"/>
  <c r="G28" i="27"/>
  <c r="G29" i="27" s="1"/>
  <c r="AA17" i="18"/>
  <c r="AA18" i="18" s="1"/>
  <c r="H11" i="33"/>
  <c r="H50" i="38" s="1"/>
  <c r="K17" i="18"/>
  <c r="K18" i="18" s="1"/>
  <c r="D11" i="33"/>
  <c r="D50" i="38" s="1"/>
  <c r="G29" i="17"/>
  <c r="G30" i="17" s="1"/>
  <c r="C6" i="33"/>
  <c r="K29" i="17"/>
  <c r="K30" i="17" s="1"/>
  <c r="D6" i="33"/>
  <c r="D45" i="38" s="1"/>
  <c r="K29" i="26"/>
  <c r="K30" i="26" s="1"/>
  <c r="D15" i="33"/>
  <c r="D54" i="38" s="1"/>
  <c r="W29" i="26"/>
  <c r="W30" i="26" s="1"/>
  <c r="G15" i="33"/>
  <c r="G54" i="38" s="1"/>
  <c r="AA29" i="26"/>
  <c r="AA30" i="26" s="1"/>
  <c r="H15" i="33"/>
  <c r="H54" i="38" s="1"/>
  <c r="AA59" i="23"/>
  <c r="AA60" i="23" s="1"/>
  <c r="H12" i="33"/>
  <c r="H51" i="38" s="1"/>
  <c r="W59" i="23"/>
  <c r="W60" i="23" s="1"/>
  <c r="G12" i="33"/>
  <c r="G51" i="38" s="1"/>
  <c r="S59" i="23"/>
  <c r="S60" i="23" s="1"/>
  <c r="F12" i="33"/>
  <c r="F51" i="38" s="1"/>
  <c r="O59" i="23"/>
  <c r="O60" i="23" s="1"/>
  <c r="E12" i="33"/>
  <c r="E51" i="38" s="1"/>
  <c r="K59" i="23"/>
  <c r="K60" i="23" s="1"/>
  <c r="D12" i="33"/>
  <c r="D51" i="38" s="1"/>
  <c r="E21" i="33"/>
  <c r="E60" i="38" s="1"/>
  <c r="AA46" i="22"/>
  <c r="AA47" i="22" s="1"/>
  <c r="H9" i="33"/>
  <c r="H48" i="38" s="1"/>
  <c r="W46" i="22"/>
  <c r="W47" i="22" s="1"/>
  <c r="G9" i="33"/>
  <c r="G48" i="38" s="1"/>
  <c r="S46" i="22"/>
  <c r="S47" i="22" s="1"/>
  <c r="F9" i="33"/>
  <c r="F48" i="38" s="1"/>
  <c r="K46" i="22"/>
  <c r="K47" i="22" s="1"/>
  <c r="D9" i="33"/>
  <c r="D48" i="38" s="1"/>
  <c r="O29" i="26"/>
  <c r="O30" i="26" s="1"/>
  <c r="E15" i="33"/>
  <c r="E54" i="38" s="1"/>
  <c r="S29" i="26"/>
  <c r="S30" i="26" s="1"/>
  <c r="F15" i="33"/>
  <c r="F54" i="38" s="1"/>
  <c r="O38" i="20"/>
  <c r="O39" i="20" s="1"/>
  <c r="E8" i="33"/>
  <c r="E47" i="38" s="1"/>
  <c r="K122" i="24"/>
  <c r="K123" i="24" s="1"/>
  <c r="D14" i="33"/>
  <c r="D53" i="38" s="1"/>
  <c r="K38" i="20"/>
  <c r="K39" i="20" s="1"/>
  <c r="D8" i="33"/>
  <c r="D47" i="38" s="1"/>
  <c r="G37" i="20"/>
  <c r="G38" i="20" s="1"/>
  <c r="G39" i="20" s="1"/>
  <c r="G45" i="22"/>
  <c r="G46" i="22" s="1"/>
  <c r="G47" i="22" s="1"/>
  <c r="G29" i="26"/>
  <c r="G30" i="26" s="1"/>
  <c r="G17" i="18"/>
  <c r="G18" i="18" s="1"/>
  <c r="AL66" i="38" l="1"/>
  <c r="F66" i="38"/>
  <c r="AS66" i="38"/>
  <c r="AR66" i="38"/>
  <c r="G66" i="38"/>
  <c r="C65" i="38"/>
  <c r="G112" i="19"/>
  <c r="G113" i="19" s="1"/>
  <c r="AV65" i="38"/>
  <c r="C45" i="38"/>
  <c r="D69" i="38"/>
  <c r="Y69" i="38"/>
  <c r="Y82" i="38" s="1"/>
  <c r="AW67" i="38"/>
  <c r="H67" i="38"/>
  <c r="F67" i="38"/>
  <c r="AL67" i="38"/>
  <c r="AM67" i="38"/>
  <c r="G70" i="38"/>
  <c r="AS70" i="38"/>
  <c r="AR70" i="38"/>
  <c r="AT70" i="38"/>
  <c r="AG66" i="38"/>
  <c r="E66" i="38"/>
  <c r="AF66" i="38"/>
  <c r="AG79" i="38"/>
  <c r="AE79" i="38"/>
  <c r="AD79" i="38"/>
  <c r="AF79" i="38"/>
  <c r="E79" i="38"/>
  <c r="AH79" i="38"/>
  <c r="AI79" i="38"/>
  <c r="AV70" i="38"/>
  <c r="H70" i="38"/>
  <c r="AV69" i="38"/>
  <c r="H69" i="38"/>
  <c r="F73" i="38"/>
  <c r="AO73" i="38"/>
  <c r="AM73" i="38"/>
  <c r="AN73" i="38"/>
  <c r="D70" i="38"/>
  <c r="Z70" i="38"/>
  <c r="AA70" i="38"/>
  <c r="AS73" i="38"/>
  <c r="AT73" i="38"/>
  <c r="G73" i="38"/>
  <c r="AU73" i="38"/>
  <c r="F70" i="38"/>
  <c r="AL70" i="38"/>
  <c r="AM70" i="38"/>
  <c r="AJ70" i="38"/>
  <c r="AN70" i="38"/>
  <c r="AK70" i="38"/>
  <c r="AO70" i="38"/>
  <c r="AS67" i="38"/>
  <c r="AR67" i="38"/>
  <c r="G67" i="38"/>
  <c r="H73" i="38"/>
  <c r="AW73" i="38"/>
  <c r="D73" i="38"/>
  <c r="AA73" i="38"/>
  <c r="F74" i="38"/>
  <c r="AO74" i="38"/>
  <c r="AN74" i="38"/>
  <c r="D64" i="38"/>
  <c r="Z64" i="38"/>
  <c r="AG73" i="38"/>
  <c r="AH73" i="38"/>
  <c r="AI73" i="38"/>
  <c r="E73" i="38"/>
  <c r="AG70" i="38"/>
  <c r="AE70" i="38"/>
  <c r="AI70" i="38"/>
  <c r="AH70" i="38"/>
  <c r="E70" i="38"/>
  <c r="AF70" i="38"/>
  <c r="D66" i="38"/>
  <c r="AC66" i="38"/>
  <c r="D67" i="38"/>
  <c r="AC67" i="38"/>
  <c r="E64" i="38"/>
  <c r="AD64" i="38"/>
  <c r="BD78" i="38"/>
  <c r="BE78" i="38" s="1"/>
  <c r="AF65" i="38"/>
  <c r="AE65" i="38"/>
  <c r="AI65" i="38"/>
  <c r="E65" i="38"/>
  <c r="AD65" i="38"/>
  <c r="AX65" i="38"/>
  <c r="I65" i="38"/>
  <c r="F72" i="38"/>
  <c r="AM72" i="38"/>
  <c r="AN72" i="38"/>
  <c r="AJ72" i="38"/>
  <c r="AO72" i="38"/>
  <c r="AG72" i="38"/>
  <c r="AE72" i="38"/>
  <c r="AI72" i="38"/>
  <c r="E72" i="38"/>
  <c r="AH72" i="38"/>
  <c r="AV72" i="38"/>
  <c r="H72" i="38"/>
  <c r="AW72" i="38"/>
  <c r="D72" i="38"/>
  <c r="AB72" i="38"/>
  <c r="Z72" i="38"/>
  <c r="AA72" i="38"/>
  <c r="AS72" i="38"/>
  <c r="AP72" i="38"/>
  <c r="AP82" i="38" s="1"/>
  <c r="AU72" i="38"/>
  <c r="AT72" i="38"/>
  <c r="G72" i="38"/>
  <c r="AQ24" i="38"/>
  <c r="AQ25" i="38" s="1"/>
  <c r="C16" i="33"/>
  <c r="C55" i="38" s="1"/>
  <c r="C8" i="33"/>
  <c r="C9" i="33"/>
  <c r="C48" i="38" s="1"/>
  <c r="C15" i="33"/>
  <c r="C54" i="38" s="1"/>
  <c r="C14" i="33"/>
  <c r="C12" i="33"/>
  <c r="C51" i="38" s="1"/>
  <c r="C11" i="33"/>
  <c r="C50" i="38" s="1"/>
  <c r="AN82" i="38" l="1"/>
  <c r="AN87" i="38" s="1"/>
  <c r="AJ82" i="38"/>
  <c r="AJ87" i="38" s="1"/>
  <c r="BD65" i="38"/>
  <c r="BE65" i="38" s="1"/>
  <c r="BD79" i="38"/>
  <c r="BE79" i="38" s="1"/>
  <c r="AA82" i="38"/>
  <c r="AA83" i="38" s="1"/>
  <c r="AA88" i="38" s="1"/>
  <c r="I51" i="38"/>
  <c r="C70" i="38"/>
  <c r="AD82" i="38"/>
  <c r="AD87" i="38" s="1"/>
  <c r="AT82" i="38"/>
  <c r="I55" i="38"/>
  <c r="C74" i="38"/>
  <c r="AH82" i="38"/>
  <c r="AH83" i="38" s="1"/>
  <c r="AH88" i="38" s="1"/>
  <c r="C47" i="38"/>
  <c r="C67" i="38"/>
  <c r="I48" i="38"/>
  <c r="I45" i="38"/>
  <c r="C64" i="38"/>
  <c r="C69" i="38"/>
  <c r="I50" i="38"/>
  <c r="C73" i="38"/>
  <c r="I54" i="38"/>
  <c r="Y87" i="38"/>
  <c r="Y83" i="38"/>
  <c r="Y88" i="38" s="1"/>
  <c r="AP87" i="38"/>
  <c r="AP83" i="38"/>
  <c r="AP88" i="38" s="1"/>
  <c r="C53" i="38"/>
  <c r="Z82" i="38"/>
  <c r="AW24" i="38"/>
  <c r="AW25" i="38" s="1"/>
  <c r="AV24" i="38"/>
  <c r="AV25" i="38" s="1"/>
  <c r="E24" i="38"/>
  <c r="AT24" i="38"/>
  <c r="AT25" i="38" s="1"/>
  <c r="AU24" i="38"/>
  <c r="AU25" i="38" s="1"/>
  <c r="BE20" i="38"/>
  <c r="J24" i="38"/>
  <c r="AR24" i="38"/>
  <c r="AR25" i="38" s="1"/>
  <c r="G24" i="38"/>
  <c r="F24" i="38"/>
  <c r="AT87" i="38" l="1"/>
  <c r="AJ83" i="38"/>
  <c r="AJ88" i="38" s="1"/>
  <c r="AN83" i="38"/>
  <c r="AN88" i="38" s="1"/>
  <c r="AD83" i="38"/>
  <c r="AD88" i="38" s="1"/>
  <c r="AA87" i="38"/>
  <c r="I64" i="38"/>
  <c r="AX64" i="38"/>
  <c r="BD64" i="38" s="1"/>
  <c r="BE64" i="38" s="1"/>
  <c r="AT83" i="38"/>
  <c r="AT88" i="38" s="1"/>
  <c r="AX70" i="38"/>
  <c r="BD70" i="38" s="1"/>
  <c r="BE70" i="38" s="1"/>
  <c r="I70" i="38"/>
  <c r="AH87" i="38"/>
  <c r="AX69" i="38"/>
  <c r="BD69" i="38" s="1"/>
  <c r="BE69" i="38" s="1"/>
  <c r="I69" i="38"/>
  <c r="I74" i="38"/>
  <c r="AX74" i="38"/>
  <c r="BD74" i="38" s="1"/>
  <c r="BE74" i="38" s="1"/>
  <c r="AX67" i="38"/>
  <c r="BD67" i="38" s="1"/>
  <c r="BE67" i="38" s="1"/>
  <c r="I67" i="38"/>
  <c r="AX73" i="38"/>
  <c r="BD73" i="38" s="1"/>
  <c r="BE73" i="38" s="1"/>
  <c r="I73" i="38"/>
  <c r="C66" i="38"/>
  <c r="I47" i="38"/>
  <c r="I53" i="38"/>
  <c r="C72" i="38"/>
  <c r="Z83" i="38"/>
  <c r="Z87" i="38"/>
  <c r="AS24" i="38"/>
  <c r="AS25" i="38" s="1"/>
  <c r="BE19" i="38"/>
  <c r="D24" i="38"/>
  <c r="AE26" i="38"/>
  <c r="BE22" i="38"/>
  <c r="I66" i="38" l="1"/>
  <c r="AX66" i="38"/>
  <c r="BD66" i="38" s="1"/>
  <c r="BE66" i="38" s="1"/>
  <c r="Z88" i="38"/>
  <c r="AX72" i="38"/>
  <c r="I72" i="38"/>
  <c r="C24" i="38"/>
  <c r="BE21" i="38"/>
  <c r="BD72" i="38" l="1"/>
  <c r="BE72" i="38" s="1"/>
  <c r="AX24" i="38"/>
  <c r="AX25" i="38" s="1"/>
  <c r="AQ26" i="38" l="1"/>
  <c r="C27" i="38" l="1"/>
  <c r="M27" i="38"/>
  <c r="E10" i="33" l="1"/>
  <c r="O67" i="21"/>
  <c r="O68" i="21" s="1"/>
  <c r="AA67" i="21" l="1"/>
  <c r="AA68" i="21" s="1"/>
  <c r="H10" i="33"/>
  <c r="G10" i="33"/>
  <c r="G49" i="38" s="1"/>
  <c r="W67" i="21"/>
  <c r="W68" i="21" s="1"/>
  <c r="H49" i="38"/>
  <c r="E49" i="38"/>
  <c r="F10" i="33" l="1"/>
  <c r="S67" i="21"/>
  <c r="S68" i="21" s="1"/>
  <c r="K67" i="21"/>
  <c r="K68" i="21" s="1"/>
  <c r="D10" i="33"/>
  <c r="G68" i="38"/>
  <c r="AR68" i="38"/>
  <c r="G67" i="21"/>
  <c r="G68" i="21" s="1"/>
  <c r="C10" i="33"/>
  <c r="AG68" i="38"/>
  <c r="AE68" i="38"/>
  <c r="AF68" i="38"/>
  <c r="E68" i="38"/>
  <c r="AV68" i="38"/>
  <c r="H68" i="38"/>
  <c r="F49" i="38" l="1"/>
  <c r="C49" i="38"/>
  <c r="D49" i="38"/>
  <c r="F68" i="38" l="1"/>
  <c r="AL68" i="38"/>
  <c r="D68" i="38"/>
  <c r="AC68" i="38"/>
  <c r="I49" i="38"/>
  <c r="C68" i="38"/>
  <c r="AX68" i="38" l="1"/>
  <c r="BD68" i="38" s="1"/>
  <c r="BE68" i="38" s="1"/>
  <c r="I68" i="38"/>
  <c r="K200" i="43" l="1"/>
  <c r="K201" i="43" s="1"/>
  <c r="K202" i="43" s="1"/>
  <c r="D17" i="33" l="1"/>
  <c r="D24" i="33" l="1"/>
  <c r="D25" i="33" s="1"/>
  <c r="D58" i="38"/>
  <c r="AC77" i="38" l="1"/>
  <c r="AC82" i="38" s="1"/>
  <c r="D77" i="38"/>
  <c r="D82" i="38" s="1"/>
  <c r="AB77" i="38"/>
  <c r="AB82" i="38" l="1"/>
  <c r="AC83" i="38"/>
  <c r="AC88" i="38" s="1"/>
  <c r="AC87" i="38"/>
  <c r="AB83" i="38" l="1"/>
  <c r="AB87" i="38"/>
  <c r="AB88" i="38" l="1"/>
  <c r="Y84" i="38"/>
  <c r="S89" i="38" l="1"/>
  <c r="O200" i="43"/>
  <c r="O201" i="43" s="1"/>
  <c r="O202" i="43" s="1"/>
  <c r="E17" i="33" l="1"/>
  <c r="E24" i="33" l="1"/>
  <c r="E25" i="33" s="1"/>
  <c r="E58" i="38"/>
  <c r="AI77" i="38" l="1"/>
  <c r="AI82" i="38" s="1"/>
  <c r="AF77" i="38"/>
  <c r="AF82" i="38" s="1"/>
  <c r="AE77" i="38"/>
  <c r="E77" i="38"/>
  <c r="E82" i="38" s="1"/>
  <c r="AG77" i="38"/>
  <c r="AG82" i="38" s="1"/>
  <c r="AF83" i="38" l="1"/>
  <c r="AF88" i="38" s="1"/>
  <c r="AF87" i="38"/>
  <c r="AG83" i="38"/>
  <c r="AG88" i="38" s="1"/>
  <c r="AG87" i="38"/>
  <c r="AE82" i="38"/>
  <c r="AI87" i="38"/>
  <c r="AI83" i="38"/>
  <c r="AI88" i="38" s="1"/>
  <c r="AE83" i="38" l="1"/>
  <c r="AE87" i="38"/>
  <c r="AE88" i="38" l="1"/>
  <c r="S200" i="43"/>
  <c r="F17" i="33" l="1"/>
  <c r="S201" i="43"/>
  <c r="S202" i="43" s="1"/>
  <c r="F24" i="33" l="1"/>
  <c r="F25" i="33" s="1"/>
  <c r="F58" i="38"/>
  <c r="AL77" i="38" l="1"/>
  <c r="AL82" i="38" s="1"/>
  <c r="AO77" i="38"/>
  <c r="AO82" i="38" s="1"/>
  <c r="AK77" i="38"/>
  <c r="F77" i="38"/>
  <c r="F82" i="38" s="1"/>
  <c r="AM77" i="38"/>
  <c r="AM82" i="38" s="1"/>
  <c r="AK82" i="38" l="1"/>
  <c r="AO87" i="38"/>
  <c r="AO83" i="38"/>
  <c r="AO88" i="38" s="1"/>
  <c r="AM87" i="38"/>
  <c r="AM83" i="38"/>
  <c r="AM88" i="38" s="1"/>
  <c r="AL87" i="38"/>
  <c r="AL83" i="38"/>
  <c r="AL88" i="38" s="1"/>
  <c r="AK83" i="38" l="1"/>
  <c r="AK87" i="38"/>
  <c r="AK88" i="38" l="1"/>
  <c r="AE84" i="38"/>
  <c r="AE89" i="38" l="1"/>
  <c r="W200" i="43"/>
  <c r="G17" i="33" s="1"/>
  <c r="G58" i="38" l="1"/>
  <c r="G24" i="33"/>
  <c r="G25" i="33" s="1"/>
  <c r="W201" i="43"/>
  <c r="W202" i="43" s="1"/>
  <c r="AS77" i="38" l="1"/>
  <c r="AS82" i="38" s="1"/>
  <c r="AQ77" i="38"/>
  <c r="G77" i="38"/>
  <c r="G82" i="38" s="1"/>
  <c r="AR77" i="38"/>
  <c r="AR82" i="38" s="1"/>
  <c r="AU77" i="38"/>
  <c r="AU82" i="38" s="1"/>
  <c r="AQ82" i="38" l="1"/>
  <c r="AU87" i="38"/>
  <c r="AU83" i="38"/>
  <c r="AU88" i="38" s="1"/>
  <c r="AR83" i="38"/>
  <c r="AR88" i="38" s="1"/>
  <c r="AR87" i="38"/>
  <c r="AS87" i="38"/>
  <c r="AS83" i="38"/>
  <c r="AS88" i="38" s="1"/>
  <c r="AQ87" i="38" l="1"/>
  <c r="AQ83" i="38"/>
  <c r="AQ88" i="38" l="1"/>
  <c r="H17" i="33"/>
  <c r="H24" i="33" l="1"/>
  <c r="H25" i="33" s="1"/>
  <c r="H58" i="38"/>
  <c r="G200" i="43"/>
  <c r="AA201" i="43"/>
  <c r="AA202" i="43" s="1"/>
  <c r="C17" i="33" l="1"/>
  <c r="C24" i="33" s="1"/>
  <c r="C25" i="33" s="1"/>
  <c r="G201" i="43"/>
  <c r="G202" i="43" s="1"/>
  <c r="AV77" i="38"/>
  <c r="H77" i="38"/>
  <c r="H82" i="38" s="1"/>
  <c r="AW77" i="38"/>
  <c r="AW82" i="38" s="1"/>
  <c r="AW87" i="38" l="1"/>
  <c r="AW83" i="38"/>
  <c r="AW88" i="38" s="1"/>
  <c r="AV82" i="38"/>
  <c r="C58" i="38"/>
  <c r="I58" i="38" l="1"/>
  <c r="C77" i="38"/>
  <c r="AV83" i="38"/>
  <c r="AV87" i="38"/>
  <c r="AV88" i="38" l="1"/>
  <c r="C82" i="38"/>
  <c r="I77" i="38"/>
  <c r="I82" i="38" s="1"/>
  <c r="AX77" i="38"/>
  <c r="AX82" i="38" l="1"/>
  <c r="BD77" i="38"/>
  <c r="BE77" i="38" s="1"/>
  <c r="AX87" i="38" l="1"/>
  <c r="AX83" i="38"/>
  <c r="AX88" i="38" l="1"/>
  <c r="AQ84" i="38"/>
  <c r="Y85" i="38" l="1"/>
  <c r="M90" i="38" s="1"/>
  <c r="AQ89" i="38"/>
</calcChain>
</file>

<file path=xl/sharedStrings.xml><?xml version="1.0" encoding="utf-8"?>
<sst xmlns="http://schemas.openxmlformats.org/spreadsheetml/2006/main" count="3193" uniqueCount="1113">
  <si>
    <t>Unité</t>
  </si>
  <si>
    <t>Article</t>
  </si>
  <si>
    <t>Désignation des travaux</t>
  </si>
  <si>
    <t>Quantités</t>
  </si>
  <si>
    <t>Prix unitaires
€ H.T.</t>
  </si>
  <si>
    <t xml:space="preserve">Total
€ H.T. </t>
  </si>
  <si>
    <t>ens</t>
  </si>
  <si>
    <t xml:space="preserve">MONTANT TOTAL HT € </t>
  </si>
  <si>
    <t>TVA 20 %</t>
  </si>
  <si>
    <t>MONTANT TOTAL TTC €</t>
  </si>
  <si>
    <t>Sous-total HT</t>
  </si>
  <si>
    <t>m²</t>
  </si>
  <si>
    <t>TOTAL</t>
  </si>
  <si>
    <t>MAÎTRE D'OUVRAGE</t>
  </si>
  <si>
    <t>INGENIERIE</t>
  </si>
  <si>
    <t>TPF INGENIERIE</t>
  </si>
  <si>
    <t>55 rue de la Villette</t>
  </si>
  <si>
    <t>69 003 LYON</t>
  </si>
  <si>
    <t>ARCHITECTE</t>
  </si>
  <si>
    <t>I</t>
  </si>
  <si>
    <t>II</t>
  </si>
  <si>
    <t>III</t>
  </si>
  <si>
    <t>TOTAL PREPARATION ET ETUDES</t>
  </si>
  <si>
    <t>SEXTANT architecture</t>
  </si>
  <si>
    <t xml:space="preserve">80, Boulevard françois Mitterrand </t>
  </si>
  <si>
    <t xml:space="preserve">63 000 Clermont-Ferrand </t>
  </si>
  <si>
    <t>CHU St ETIENNE - ETABLISSEMENT SUPPORT GHT LOIRE</t>
  </si>
  <si>
    <t>19, Rue Victor Hugo</t>
  </si>
  <si>
    <t>42 400 Saint-Chamond</t>
  </si>
  <si>
    <t>Hôpital du GIER</t>
  </si>
  <si>
    <t>Phase 1</t>
  </si>
  <si>
    <t>Phase 2</t>
  </si>
  <si>
    <t>LOT 01 - VRD et Espaces Verts</t>
  </si>
  <si>
    <t>Phase 3</t>
  </si>
  <si>
    <t>Phase 4</t>
  </si>
  <si>
    <t>Phase 5</t>
  </si>
  <si>
    <t>LOT 02 - Fondations</t>
  </si>
  <si>
    <t>LOT 04 - Etanchéité</t>
  </si>
  <si>
    <t>LOT 05 - Façades</t>
  </si>
  <si>
    <t>LOT 06 - Menuiseries Extérieures</t>
  </si>
  <si>
    <t>LOT 07 - Démolition et Curage</t>
  </si>
  <si>
    <r>
      <rPr>
        <b/>
        <sz val="24"/>
        <rFont val="Calibri"/>
        <family val="2"/>
      </rPr>
      <t>Restructuration des urgences et du hall d'accueil de</t>
    </r>
    <r>
      <rPr>
        <b/>
        <sz val="28"/>
        <rFont val="Calibri"/>
        <family val="2"/>
      </rPr>
      <t xml:space="preserve">
l'HOPITAL DU GIER à SAINT-CHAMOND (42)</t>
    </r>
    <r>
      <rPr>
        <b/>
        <sz val="12"/>
        <rFont val="Calibri"/>
        <family val="2"/>
      </rPr>
      <t/>
    </r>
  </si>
  <si>
    <t>Lots</t>
  </si>
  <si>
    <t>CONFINEMENTS DES ZONES TRAVAUX</t>
  </si>
  <si>
    <t>DEMOLITION ET CURAGE</t>
  </si>
  <si>
    <t>Déconstruction SAS Ambulances</t>
  </si>
  <si>
    <t>Sciage et déconstruction mur d'enceinte</t>
  </si>
  <si>
    <t>Déconstruction d'aménagements non structurels</t>
  </si>
  <si>
    <t>CLOISONS DOUBLAGES</t>
  </si>
  <si>
    <t>Cloisons 98/48 standard</t>
  </si>
  <si>
    <t>Cloisons 98/48 acoustique</t>
  </si>
  <si>
    <t>Doublage mural Bâtiment existant rénové</t>
  </si>
  <si>
    <t>Doublage mural extensions neuves</t>
  </si>
  <si>
    <t>Fermeture de cloisons existantes</t>
  </si>
  <si>
    <t>Ouvertures ponctuelles de cloisons existantes</t>
  </si>
  <si>
    <t>FAUX-PLAFONDS</t>
  </si>
  <si>
    <t>PEINTURE</t>
  </si>
  <si>
    <t>NETTOYAGE</t>
  </si>
  <si>
    <t>TOTAL NETTOYAGE</t>
  </si>
  <si>
    <t>TOTAL PEINTURE</t>
  </si>
  <si>
    <t>TOTAL CONFINEMENTS DES ZONES TRAVAUX</t>
  </si>
  <si>
    <t>TOTAL DEMOLITION ET CURAGE</t>
  </si>
  <si>
    <t>Peinture sur Plâtrerie - Plafond</t>
  </si>
  <si>
    <t>Peinture sur Plâtrerie - Mur</t>
  </si>
  <si>
    <t>Peinture sur menuiseries intérieures bois ou métal</t>
  </si>
  <si>
    <t>Peinture sur canalisation</t>
  </si>
  <si>
    <t>Signalétique en peinture décorative</t>
  </si>
  <si>
    <t>Faux-plafonds démontables 600x600, ossature apparente</t>
  </si>
  <si>
    <t>Faux-plafonds démontables 1200x600, ossature apparente</t>
  </si>
  <si>
    <t>U</t>
  </si>
  <si>
    <t>ml</t>
  </si>
  <si>
    <t>Faux-plafonds fixes en plaque de plâtre</t>
  </si>
  <si>
    <t>Faux-plafonds démontables 600x600, hygiène, nettoyage vapeur</t>
  </si>
  <si>
    <t>Faux-plafonds démontables 600x600, hygiène, ossature apparente</t>
  </si>
  <si>
    <t>Doublage non isolé</t>
  </si>
  <si>
    <t>BLOC-PORTES</t>
  </si>
  <si>
    <t>CHÂSSIS VITRES</t>
  </si>
  <si>
    <t>PROTECTIONS MURALES</t>
  </si>
  <si>
    <t>IV</t>
  </si>
  <si>
    <t>TOTAL FAUX-PLAFONDS</t>
  </si>
  <si>
    <t>TOTAL CLOISONS ET DOUBLAGES</t>
  </si>
  <si>
    <t>AUTRES</t>
  </si>
  <si>
    <t>SIGNALETIQUES</t>
  </si>
  <si>
    <t>V</t>
  </si>
  <si>
    <t>VI</t>
  </si>
  <si>
    <t>VII</t>
  </si>
  <si>
    <t>TOTAL BLOC-PORTES</t>
  </si>
  <si>
    <t>TOTAL CHÂSSIS VITRES</t>
  </si>
  <si>
    <t>TOTAL PROTECTIONS MURALES</t>
  </si>
  <si>
    <t>TOTAL SIGNALETIQUES</t>
  </si>
  <si>
    <t>TOTAL AUTRES</t>
  </si>
  <si>
    <t>Bloc-porte Type A</t>
  </si>
  <si>
    <t>Bloc-porte Type B</t>
  </si>
  <si>
    <t>Bloc-porte Type C</t>
  </si>
  <si>
    <t>Bloc-porte Type D</t>
  </si>
  <si>
    <t>Bloc-porte Type E</t>
  </si>
  <si>
    <t>Bloc-porte Type F</t>
  </si>
  <si>
    <t>Bloc-porte Type G</t>
  </si>
  <si>
    <t>Bloc-porte Type H</t>
  </si>
  <si>
    <t>Bloc-porte Type I</t>
  </si>
  <si>
    <t>Bloc-porte Type J</t>
  </si>
  <si>
    <t>Bloc-porte Type K</t>
  </si>
  <si>
    <t>Bloc-porte Type L</t>
  </si>
  <si>
    <t>Bloc-porte Type M</t>
  </si>
  <si>
    <t>Bloc-porte Type N</t>
  </si>
  <si>
    <t>Bloc-porte Type O</t>
  </si>
  <si>
    <t>Bloc-porte Type P</t>
  </si>
  <si>
    <t>Bloc-porte Type Q</t>
  </si>
  <si>
    <t>Bloc-porte Type R</t>
  </si>
  <si>
    <t>Bloc-porte Type S</t>
  </si>
  <si>
    <t>Bloc-porte Type T</t>
  </si>
  <si>
    <t>Bloc-porte Type U</t>
  </si>
  <si>
    <t>Bloc-porte Type "Existant"</t>
  </si>
  <si>
    <t>Châssis vitré fixe toute hauteur</t>
  </si>
  <si>
    <t>Bloc-porte Type V</t>
  </si>
  <si>
    <t>Main-courantes</t>
  </si>
  <si>
    <t>Protection d'angles saillants</t>
  </si>
  <si>
    <t>Façade de gaines Techniques EI60 - 1 vantail</t>
  </si>
  <si>
    <t>Façade de gaines Techniques EI60 - 2 vantaux</t>
  </si>
  <si>
    <t>BLOCS-PORTES AUTOMATIQUES BATTANTS</t>
  </si>
  <si>
    <t>Accès Urgences intérieur SUD et NORD</t>
  </si>
  <si>
    <t>Accès IAO depuis attentes couchés des Urgences</t>
  </si>
  <si>
    <t>TOTAL BLOCS-PORTES AUTOMATIQUES BATTANTS</t>
  </si>
  <si>
    <t>BLOCS-PORTES AUTOMATIQUES COULISSANTS</t>
  </si>
  <si>
    <t>TOTAL BLOCS-PORTES AUTOMATIQUES COULISSANTS</t>
  </si>
  <si>
    <t>Accès box de déchoquage</t>
  </si>
  <si>
    <t>Accès accueil Urgences</t>
  </si>
  <si>
    <t>Accès maison médicale</t>
  </si>
  <si>
    <t>SOLS SOUPLES</t>
  </si>
  <si>
    <t>TOTAL SOLS SOUPLES</t>
  </si>
  <si>
    <t xml:space="preserve">Préparation et ragréage des supports </t>
  </si>
  <si>
    <t>Sols PVC U4 P3 E2 C2</t>
  </si>
  <si>
    <t>Revêtement de sol en PVC pour salle de bain</t>
  </si>
  <si>
    <t>Revêtement en PVC - Mur</t>
  </si>
  <si>
    <t>DIVERS</t>
  </si>
  <si>
    <t>TOTAL DIVERS</t>
  </si>
  <si>
    <t>Barre de seuils</t>
  </si>
  <si>
    <t>Couvre-joint de dilatation</t>
  </si>
  <si>
    <t>Peinture de sol circulable véhicule</t>
  </si>
  <si>
    <t>Châssis vitré fixe sur allège</t>
  </si>
  <si>
    <t>Châssis vitré fixe 30 dB sur allège</t>
  </si>
  <si>
    <t>Chape acoustique</t>
  </si>
  <si>
    <t>REFACTION D'ETANCHEITE EXISTANTE</t>
  </si>
  <si>
    <t>Réfaction d'étanchéité existante</t>
  </si>
  <si>
    <t>ETANCHEITE BATIMENTS NEUFS</t>
  </si>
  <si>
    <t xml:space="preserve">Etanchéité isolée avec protection par végétalisation extensive </t>
  </si>
  <si>
    <t>Relevé d'étanchéité pour terrasse végétalisée</t>
  </si>
  <si>
    <t>Etanchéité isolée avec protection par gravillons</t>
  </si>
  <si>
    <t>Etanchéité non isolée avec protection par gravillons</t>
  </si>
  <si>
    <t>Relvé d'étanchéité protégée par gravillons</t>
  </si>
  <si>
    <t>Etanchéité liquide</t>
  </si>
  <si>
    <t>Naissances EP</t>
  </si>
  <si>
    <t xml:space="preserve">Descentes EP </t>
  </si>
  <si>
    <t>Crosses</t>
  </si>
  <si>
    <t>Couvertines en bavettes métallique</t>
  </si>
  <si>
    <t>Cloison ciment en coffre sur porte coulissante</t>
  </si>
  <si>
    <t>BARDAGE</t>
  </si>
  <si>
    <t>Bardage métallique simple peau non isolé</t>
  </si>
  <si>
    <t>Lasure béton anti-grafitti sur béton extérieur</t>
  </si>
  <si>
    <t>SIGNALETIQUE</t>
  </si>
  <si>
    <t>Totem d'entrée Urgences</t>
  </si>
  <si>
    <t>Logo "Urgences" en façade</t>
  </si>
  <si>
    <t>TOTAL SIGNALETIQUE</t>
  </si>
  <si>
    <t>TOTAL LASURE</t>
  </si>
  <si>
    <t>TOTAL BARDAGE</t>
  </si>
  <si>
    <t>Portes à enroulement</t>
  </si>
  <si>
    <t>Grilles de ventilation</t>
  </si>
  <si>
    <t>Raccord ZAG</t>
  </si>
  <si>
    <t>Profil métallique de recouvrement de JD</t>
  </si>
  <si>
    <t>Enduit extérieur sur béton</t>
  </si>
  <si>
    <t>Habillage tableau extérieur en métal</t>
  </si>
  <si>
    <t>TOTAL ETANCHEITE BATIMENTS NEUFS</t>
  </si>
  <si>
    <t>TOTAL REFACTION D'ETANCHEITE EXISTANTE</t>
  </si>
  <si>
    <t>LASURES ET ENDUITS</t>
  </si>
  <si>
    <t>Tabouret raccord ZAG EI120</t>
  </si>
  <si>
    <t>Plue-value pour parement de cloison hydrofuge (1 coté)</t>
  </si>
  <si>
    <t>CHASSIS VITRES</t>
  </si>
  <si>
    <t>TOTAL CHASSIS VITRES</t>
  </si>
  <si>
    <t>Brise-soleils orientables électriques extérieurs</t>
  </si>
  <si>
    <t>Phase 0</t>
  </si>
  <si>
    <t>Réserves</t>
  </si>
  <si>
    <t>Phases et lots</t>
  </si>
  <si>
    <t>M0</t>
  </si>
  <si>
    <t>M1</t>
  </si>
  <si>
    <t>M2</t>
  </si>
  <si>
    <t>Phase 0 - 1</t>
  </si>
  <si>
    <t>Montant Total HT</t>
  </si>
  <si>
    <t>Détail des montants HT par phases</t>
  </si>
  <si>
    <t>Restructuration des urgences et du hall d'accueil de l'HOPITAL DU GIER à SAINT-CHAMOND (42)</t>
  </si>
  <si>
    <t>M3</t>
  </si>
  <si>
    <t>M4</t>
  </si>
  <si>
    <t>M5</t>
  </si>
  <si>
    <t>M6</t>
  </si>
  <si>
    <t>M7</t>
  </si>
  <si>
    <t>M8</t>
  </si>
  <si>
    <t>M9</t>
  </si>
  <si>
    <t>M10</t>
  </si>
  <si>
    <t>M11</t>
  </si>
  <si>
    <t>M12</t>
  </si>
  <si>
    <t>M13</t>
  </si>
  <si>
    <t>M14</t>
  </si>
  <si>
    <t>M15</t>
  </si>
  <si>
    <t>M16</t>
  </si>
  <si>
    <t>M17</t>
  </si>
  <si>
    <t>M18</t>
  </si>
  <si>
    <t>M19</t>
  </si>
  <si>
    <t>M20</t>
  </si>
  <si>
    <t>M21</t>
  </si>
  <si>
    <t>M22</t>
  </si>
  <si>
    <t>M23</t>
  </si>
  <si>
    <t>M24</t>
  </si>
  <si>
    <t>M25</t>
  </si>
  <si>
    <t>M26</t>
  </si>
  <si>
    <t>R</t>
  </si>
  <si>
    <t>Plus-value pour châssis de désenfumage VB</t>
  </si>
  <si>
    <t>Plus-value pour ouverture motorisée porte pour désenfumage</t>
  </si>
  <si>
    <t>M-1</t>
  </si>
  <si>
    <t>M-2</t>
  </si>
  <si>
    <t>Prep</t>
  </si>
  <si>
    <t>Valeur du BT01 estimée</t>
  </si>
  <si>
    <t>Valeur ref</t>
  </si>
  <si>
    <t>Montant HT par Phase</t>
  </si>
  <si>
    <t>Montant HT total</t>
  </si>
  <si>
    <t>1</t>
  </si>
  <si>
    <t>Etudes EXE</t>
  </si>
  <si>
    <t xml:space="preserve">Formation du personnel </t>
  </si>
  <si>
    <t>Etablissement des documents constituant le Dossier des Ouvrages Exécutés</t>
  </si>
  <si>
    <t>Mise en service, essais</t>
  </si>
  <si>
    <t>Installation de chantier</t>
  </si>
  <si>
    <t>Alim. Provisoire / coffrets de chantier y compris raccordements</t>
  </si>
  <si>
    <t>pm</t>
  </si>
  <si>
    <t>TGBT Chantier</t>
  </si>
  <si>
    <t>Luminaires IP65 y compris câblage</t>
  </si>
  <si>
    <t>Repérage / Consignation / déconsignation / Suivi phasage / maintien en activité du site</t>
  </si>
  <si>
    <t>cis</t>
  </si>
  <si>
    <t>Prestation contenant :</t>
  </si>
  <si>
    <t>Repérage</t>
  </si>
  <si>
    <t>Consignation</t>
  </si>
  <si>
    <t xml:space="preserve">Travaux de Dépose </t>
  </si>
  <si>
    <t>Déconsignation</t>
  </si>
  <si>
    <t>Essais de mise en service</t>
  </si>
  <si>
    <t xml:space="preserve">Suivi phasage </t>
  </si>
  <si>
    <t>Maintien en activité du site</t>
  </si>
  <si>
    <t>PHASE 0</t>
  </si>
  <si>
    <t xml:space="preserve">Travaux préparatoires : </t>
  </si>
  <si>
    <t>2.  Dévoiement des réseaux.</t>
  </si>
  <si>
    <t>PHASE 1</t>
  </si>
  <si>
    <t>1.  Aménagement de la zone accueil / bureaux des entrées en lieu et place de la zone attente du hall principal et du kiosque : banque d’accueil, salle d’attente,   Sanitaires, 7 guichets et bureau responsable de service.</t>
  </si>
  <si>
    <t>2.   Réalisation du clos et couvert de l’extension des consultations en pignon de l’aile Sud-Est.</t>
  </si>
  <si>
    <t>PM</t>
  </si>
  <si>
    <t>PHASE 2</t>
  </si>
  <si>
    <t>1- Aménagement urgences filière courte et kiosque/détente
- Construction galerie de liaison
- Extension bureaux médicaux</t>
  </si>
  <si>
    <t>2.  Création d’un accès sur la Rue Dugas Montbel pour accès provisoire des urgences filière longue en phase 3.</t>
  </si>
  <si>
    <t>3.  Réalisation du second-œuvre et des façades de l’extension des consultations en pignon de l’aile Sud-Est.</t>
  </si>
  <si>
    <t>PHASE 3</t>
  </si>
  <si>
    <t>1.  Construction MMG / IAO / SAS Ambulances / Attente 
couchés / PC Infirmier / Déchocage</t>
  </si>
  <si>
    <t>2. Zone SCCM: Aménagements salle ISO 7 , sanitaires</t>
  </si>
  <si>
    <t>3.  Aménagement du parvis et finalisation de l'auvent végétal.</t>
  </si>
  <si>
    <t>PHASE 4</t>
  </si>
  <si>
    <t>1. Démolition du SAS ambulance</t>
  </si>
  <si>
    <t>2. Réaménagement zone urgences filière longue Construction UHTCD 6 chambres</t>
  </si>
  <si>
    <t>PHASE 5</t>
  </si>
  <si>
    <t>1. Aménagement chambres de gardes et bureau biologie</t>
  </si>
  <si>
    <t>Etudes / Fourniture et pose / Planning / Suivi phasage / maintien en activité du site / Essais</t>
  </si>
  <si>
    <t>DISPOSITIF D'ARRÊT D'URGENCE</t>
  </si>
  <si>
    <t>Arrêt d'urgence Général</t>
  </si>
  <si>
    <t>Arrêt d'urgence CVC</t>
  </si>
  <si>
    <t>Arrêt d'urgence Ondulé</t>
  </si>
  <si>
    <t>Gestion des éclairages avec mode de fonctionnement Auto / Manu y compris GTC</t>
  </si>
  <si>
    <t>CdC CF54/300</t>
  </si>
  <si>
    <t>CdC CF54/200</t>
  </si>
  <si>
    <t>CdC CF54/150</t>
  </si>
  <si>
    <t>CdC CF54/100</t>
  </si>
  <si>
    <t>CdC CF54/50</t>
  </si>
  <si>
    <t>Divers accessoires de pose et de raccordement</t>
  </si>
  <si>
    <t>Adjonction de Départs et liaisons Normal Issu du TGBT 1</t>
  </si>
  <si>
    <t>TD ISO</t>
  </si>
  <si>
    <t>TD SCCM</t>
  </si>
  <si>
    <t>Adjonction de Départs et liaisons Ondulé Issu des deux coffrets ondulé</t>
  </si>
  <si>
    <t>Intervention sur colonnes montantes  Site en continuité de service</t>
  </si>
  <si>
    <t xml:space="preserve">Note méthodologique </t>
  </si>
  <si>
    <t>Moyens conservatoire / Vérifications / Essais / Basculement des installations</t>
  </si>
  <si>
    <t>TD Plateau Technique R1+EN1 RdC</t>
  </si>
  <si>
    <t>INTERRUPTEURS</t>
  </si>
  <si>
    <t>Interrupteurs Simple Allumage (SA)</t>
  </si>
  <si>
    <t>Interrupteurs Simple Allumage (SA) Gradable</t>
  </si>
  <si>
    <t>horloge et sonde crepusculaire</t>
  </si>
  <si>
    <t>DÉTECTION</t>
  </si>
  <si>
    <t>PRISES</t>
  </si>
  <si>
    <t>PCN</t>
  </si>
  <si>
    <t>PCO</t>
  </si>
  <si>
    <t>Occultations</t>
  </si>
  <si>
    <t>Goulotte deux compartiments</t>
  </si>
  <si>
    <t>COMMANDES DIVERSES</t>
  </si>
  <si>
    <t>Gestion des éclairages centralisé</t>
  </si>
  <si>
    <t>Ens</t>
  </si>
  <si>
    <t>Vdi</t>
  </si>
  <si>
    <t xml:space="preserve">Porte sectionnelle </t>
  </si>
  <si>
    <t>ÉCLAIRAGE</t>
  </si>
  <si>
    <t>ECLAIRAGE D'INTERIEUR</t>
  </si>
  <si>
    <t>Eclairage T3</t>
  </si>
  <si>
    <t>Eclairage T4</t>
  </si>
  <si>
    <t>Eclairage T5</t>
  </si>
  <si>
    <t>Eclairage T6</t>
  </si>
  <si>
    <t>ECLAIRAGE D'EXTERIEUR</t>
  </si>
  <si>
    <t>ECLAIRAGE DE SECURITE</t>
  </si>
  <si>
    <t>Blocs Autonomes d'Eclairage de Sécurité (BAES)</t>
  </si>
  <si>
    <t>Bloc Autonome Portatif d'Intervention (BAPI)</t>
  </si>
  <si>
    <t>Télécommande</t>
  </si>
  <si>
    <t>Canalisation</t>
  </si>
  <si>
    <t>1.  Aménagement des aires de stationnements complémentaires (+19 Places) 
  sur le site et réaménagement des places de stationnement du parking principal (-19 Places).</t>
  </si>
  <si>
    <t>TOTAL INSTALLATION DE CHANTIER</t>
  </si>
  <si>
    <t>TOTAL GENERALITES</t>
  </si>
  <si>
    <t>TOTAL DISTRIBUTIONS ELECTRIQUE</t>
  </si>
  <si>
    <t>TOTAL APPAREILLAGES</t>
  </si>
  <si>
    <t>TOTAL ALIMENTATIONS SPECIFIQUES</t>
  </si>
  <si>
    <t>ALIMENTATIONS SPECIFIQUES</t>
  </si>
  <si>
    <t>TOTAL ECLAIRAGE</t>
  </si>
  <si>
    <t>APPAREILLAGES</t>
  </si>
  <si>
    <t>DISTRIBUTIONS ELECTRIQUE</t>
  </si>
  <si>
    <t>TOTAL TRAVAUX DE DEPOSES CFO CFA</t>
  </si>
  <si>
    <t>INSTALLATION DE CHANTIER</t>
  </si>
  <si>
    <t>GENERALITES</t>
  </si>
  <si>
    <t>Mise en service, essais, mise à jour du dossier d'identité SSI</t>
  </si>
  <si>
    <t>Repérage / Consignation / Déconsignation / Planning / Suivi phasage / Maintien en activité du site</t>
  </si>
  <si>
    <t>Mise à jour des synoptique de distribution et des plans</t>
  </si>
  <si>
    <t>Travaux de fourniture et pose</t>
  </si>
  <si>
    <t>AES</t>
  </si>
  <si>
    <t>Recette / mise en service</t>
  </si>
  <si>
    <t>Formation</t>
  </si>
  <si>
    <t xml:space="preserve">SSI </t>
  </si>
  <si>
    <t>Intervention deux fois par jour pendant toute la durée des travaux</t>
  </si>
  <si>
    <t xml:space="preserve">Consignation et deconsignation de la détection incendie au PCS </t>
  </si>
  <si>
    <t>Détecteur Optique de Fumée</t>
  </si>
  <si>
    <t>Indicateur d'action</t>
  </si>
  <si>
    <t>Alarme générale selective</t>
  </si>
  <si>
    <t>Diffuseur sonore &amp;  lumineux</t>
  </si>
  <si>
    <t>Diffuseur lumineux</t>
  </si>
  <si>
    <t>Tableau de Report d'Exploitation au service dédié</t>
  </si>
  <si>
    <t>Raccordement des ventouses pour porte de recoupement CF et cablage des contacts de position</t>
  </si>
  <si>
    <t xml:space="preserve">Ventouse porte de recoupement CF </t>
  </si>
  <si>
    <t>HL</t>
  </si>
  <si>
    <t>Configuration et renvoi sur  la centrale SSI existante après  travaux</t>
  </si>
  <si>
    <t>Actualisation et nomination des nouvelles installations SSI en rapport aux locaux réamenagés (DI, boucle de détection, Arret technique) à la fin des travaux</t>
  </si>
  <si>
    <t>Recette / mise en service / Remise du dossier d'identité de sécurité incendie</t>
  </si>
  <si>
    <t>Commision de sécurité selon plan de phasage</t>
  </si>
  <si>
    <t xml:space="preserve">CONTRÔLE D'ACCES </t>
  </si>
  <si>
    <t>Magic Switch</t>
  </si>
  <si>
    <t>UTL</t>
  </si>
  <si>
    <t>Bandeau d'ouverture</t>
  </si>
  <si>
    <t xml:space="preserve">Bouton d'ouverture de porte </t>
  </si>
  <si>
    <t>Liaisons</t>
  </si>
  <si>
    <t>Configuration de l'UTL du local info</t>
  </si>
  <si>
    <t>Portier exterieur</t>
  </si>
  <si>
    <t>Moniteur de réception (Banque d'accueil)</t>
  </si>
  <si>
    <t>Mise en service</t>
  </si>
  <si>
    <t>Recette de l'installation</t>
  </si>
  <si>
    <t>TOTAL SSI</t>
  </si>
  <si>
    <t>VIDEOSURVEILLANCE</t>
  </si>
  <si>
    <t>VISIOPHONIE</t>
  </si>
  <si>
    <t>TOTAL VISIOPHONIE</t>
  </si>
  <si>
    <t>TOTAL CONTRÖLE D'ACCES</t>
  </si>
  <si>
    <t>Joues plâtres - Grande</t>
  </si>
  <si>
    <t>Joues plâtres - Petite</t>
  </si>
  <si>
    <t>sextant63@sextant-architecture.com
T : 04 73 90 83 29</t>
  </si>
  <si>
    <t xml:space="preserve">T : 04 72 13 50 60 </t>
  </si>
  <si>
    <t>T : 04 77 75 24 39</t>
  </si>
  <si>
    <t>Repérage des réseaux existants</t>
  </si>
  <si>
    <t>Abattage d'arbres</t>
  </si>
  <si>
    <t>Décapage, démolition</t>
  </si>
  <si>
    <t>Enlèvement de fondations existantes</t>
  </si>
  <si>
    <t>TERRASSEMENT</t>
  </si>
  <si>
    <t>Terrassement pleine masse</t>
  </si>
  <si>
    <t>Terrassements complémentaires</t>
  </si>
  <si>
    <t>Evacuation des déblais</t>
  </si>
  <si>
    <t>Remblais de tranchés</t>
  </si>
  <si>
    <t>m3</t>
  </si>
  <si>
    <t>TOTAL TERRASSEMENT</t>
  </si>
  <si>
    <t>DEMOLITION ET DECAPAGE</t>
  </si>
  <si>
    <t>RESEAUX ENTERRES</t>
  </si>
  <si>
    <t>TOTAL RESEAUX ENTERRES</t>
  </si>
  <si>
    <t>Prise de Terre</t>
  </si>
  <si>
    <t>Fourreaux</t>
  </si>
  <si>
    <t>Réseaux AEP</t>
  </si>
  <si>
    <t>Canalisation EU-EV</t>
  </si>
  <si>
    <t>Canalisation EP</t>
  </si>
  <si>
    <t>Regards EP de raccordement et Pieds de chute</t>
  </si>
  <si>
    <t>Caniveaux filant à grille en fonte</t>
  </si>
  <si>
    <t>LOT 09 - Faux-plafond démontable</t>
  </si>
  <si>
    <t>LOT 15 - Nettoyage</t>
  </si>
  <si>
    <t>Nettoyage de libération de phase</t>
  </si>
  <si>
    <t>Intervention ponctuelle de nettoyage de chantier - 2 personnes</t>
  </si>
  <si>
    <t>J</t>
  </si>
  <si>
    <t>LOT 10 - Menuiseries Intérieures, mobilier, signalétique</t>
  </si>
  <si>
    <t>LOT 12 - Portes automatiques</t>
  </si>
  <si>
    <t>Total facturé</t>
  </si>
  <si>
    <t>Ecart</t>
  </si>
  <si>
    <t>m</t>
  </si>
  <si>
    <t>u</t>
  </si>
  <si>
    <t>Unité terminales plafonières</t>
  </si>
  <si>
    <t>Cassette 4 tubes</t>
  </si>
  <si>
    <t>Cassette 2 tubes</t>
  </si>
  <si>
    <t>Recycleur</t>
  </si>
  <si>
    <t>Flexible de raccordement</t>
  </si>
  <si>
    <t>Vanne motorisée</t>
  </si>
  <si>
    <t>Régulateur</t>
  </si>
  <si>
    <t>Evacuation des condensats</t>
  </si>
  <si>
    <t>Tube acier noir 21,3x2,3</t>
  </si>
  <si>
    <t>Tube acier noir 26,9x2,3</t>
  </si>
  <si>
    <t>Tube acier noir 33,7x2,9</t>
  </si>
  <si>
    <t>Tube acier noir 42,4x2,9</t>
  </si>
  <si>
    <t>Tube acier noir 48,3x2,9</t>
  </si>
  <si>
    <t>Tube acier noir 60,3x3,2</t>
  </si>
  <si>
    <t>Tube acier noir 76,1 x 2,9</t>
  </si>
  <si>
    <t>Calorifuge</t>
  </si>
  <si>
    <t>Ventilation mécanique</t>
  </si>
  <si>
    <t>Adaptation des centrales</t>
  </si>
  <si>
    <t>Variateurs de fréquence</t>
  </si>
  <si>
    <t>Réseau issu de la CTA 1</t>
  </si>
  <si>
    <t>Régulateur à débit constant</t>
  </si>
  <si>
    <t>Diffuseur linéaire (soufflage et extraction)</t>
  </si>
  <si>
    <t>Bouche d'extraction autoréglable</t>
  </si>
  <si>
    <t>Conduit de ventilation circulaire Ø 125</t>
  </si>
  <si>
    <t>Réalimentation du bâtiment administratif</t>
  </si>
  <si>
    <t>Canalisation double ECS et bouclage préisolée</t>
  </si>
  <si>
    <t>WC1</t>
  </si>
  <si>
    <t>LV1</t>
  </si>
  <si>
    <t>LV2</t>
  </si>
  <si>
    <t>LV3</t>
  </si>
  <si>
    <t>LV4</t>
  </si>
  <si>
    <t>LV5</t>
  </si>
  <si>
    <t>LV6</t>
  </si>
  <si>
    <t>LV7</t>
  </si>
  <si>
    <t>EV1</t>
  </si>
  <si>
    <t>EV2</t>
  </si>
  <si>
    <t>D3</t>
  </si>
  <si>
    <t>P1</t>
  </si>
  <si>
    <t>P2</t>
  </si>
  <si>
    <t>P3</t>
  </si>
  <si>
    <t>P4</t>
  </si>
  <si>
    <t>Travaux de dépose</t>
  </si>
  <si>
    <t>Dépose des équipements, consignations</t>
  </si>
  <si>
    <t>Raccordements eau froide et eau chaude sanitaire</t>
  </si>
  <si>
    <r>
      <t xml:space="preserve">Tube cuivre écroui </t>
    </r>
    <r>
      <rPr>
        <sz val="10"/>
        <rFont val="Aptos Narrow"/>
        <family val="2"/>
      </rPr>
      <t>Ø</t>
    </r>
    <r>
      <rPr>
        <sz val="10"/>
        <rFont val="Calibri"/>
        <family val="2"/>
      </rPr>
      <t>12 x 1</t>
    </r>
  </si>
  <si>
    <r>
      <t xml:space="preserve">Tube cuivre écroui </t>
    </r>
    <r>
      <rPr>
        <sz val="10"/>
        <rFont val="Aptos Narrow"/>
        <family val="2"/>
      </rPr>
      <t>Ø</t>
    </r>
    <r>
      <rPr>
        <sz val="10"/>
        <rFont val="Calibri"/>
        <family val="2"/>
      </rPr>
      <t>14 x 1</t>
    </r>
  </si>
  <si>
    <r>
      <t xml:space="preserve">Tube cuivre écroui </t>
    </r>
    <r>
      <rPr>
        <sz val="10"/>
        <rFont val="Aptos Narrow"/>
        <family val="2"/>
      </rPr>
      <t>Ø</t>
    </r>
    <r>
      <rPr>
        <sz val="10"/>
        <rFont val="Calibri"/>
        <family val="2"/>
      </rPr>
      <t>16 x 1</t>
    </r>
  </si>
  <si>
    <r>
      <t xml:space="preserve">Tube cuivre écroui </t>
    </r>
    <r>
      <rPr>
        <sz val="10"/>
        <rFont val="Aptos Narrow"/>
        <family val="2"/>
      </rPr>
      <t>Ø22</t>
    </r>
    <r>
      <rPr>
        <sz val="10"/>
        <rFont val="Calibri"/>
        <family val="2"/>
      </rPr>
      <t xml:space="preserve"> x 1</t>
    </r>
  </si>
  <si>
    <t>Vanne d'isolement</t>
  </si>
  <si>
    <t>Sonde de température</t>
  </si>
  <si>
    <t>Raccordements des évacuations</t>
  </si>
  <si>
    <r>
      <t xml:space="preserve">Tube PVC </t>
    </r>
    <r>
      <rPr>
        <sz val="10"/>
        <rFont val="Aptos Narrow"/>
        <family val="2"/>
      </rPr>
      <t>Ø</t>
    </r>
    <r>
      <rPr>
        <sz val="10"/>
        <rFont val="Calibri"/>
        <family val="2"/>
      </rPr>
      <t xml:space="preserve"> 40</t>
    </r>
  </si>
  <si>
    <r>
      <t xml:space="preserve">Tube PVC </t>
    </r>
    <r>
      <rPr>
        <sz val="10"/>
        <rFont val="Aptos Narrow"/>
        <family val="2"/>
      </rPr>
      <t>Ø</t>
    </r>
    <r>
      <rPr>
        <sz val="10"/>
        <rFont val="Calibri"/>
        <family val="2"/>
      </rPr>
      <t xml:space="preserve"> 100</t>
    </r>
  </si>
  <si>
    <t>Raccordement sur réseau existant</t>
  </si>
  <si>
    <t>Intervention en sous-sol</t>
  </si>
  <si>
    <t>Plus value pour intervention dans le sous sol existant (confinement, remise en état des locaux…)</t>
  </si>
  <si>
    <t>Conduit de ventilation circulaire Ø 160</t>
  </si>
  <si>
    <t>Conduit de ventilation circulaire Ø 200</t>
  </si>
  <si>
    <t>Conduit de ventilation circulaire Ø 250</t>
  </si>
  <si>
    <t>Conduit de ventilation circulaire Ø 315</t>
  </si>
  <si>
    <t>Conduit de ventilation circulaire Ø 355</t>
  </si>
  <si>
    <t>Clapet coupe-feu</t>
  </si>
  <si>
    <t>Réseau issu de la CTA 2</t>
  </si>
  <si>
    <t>Réseau issu de la CTA 3</t>
  </si>
  <si>
    <t>Caisson de filtration F9</t>
  </si>
  <si>
    <t>Clapets d'équilibrage à iris</t>
  </si>
  <si>
    <t>Réseau issu de la CTA 7</t>
  </si>
  <si>
    <t>Désenfumage mécanique</t>
  </si>
  <si>
    <t>Amenées d'air au lot menuiseries extérieures</t>
  </si>
  <si>
    <t>Grille d'extraction en plafond</t>
  </si>
  <si>
    <t>Conduit EI60</t>
  </si>
  <si>
    <t>Volet tunnel</t>
  </si>
  <si>
    <t>Tourelle d'extraction</t>
  </si>
  <si>
    <t>Coffret de relayage</t>
  </si>
  <si>
    <t>Chassis d'air neuf au lot menuiseries extérieures</t>
  </si>
  <si>
    <t>Grille murale y compris percement de la façade</t>
  </si>
  <si>
    <t>Grille intérieure</t>
  </si>
  <si>
    <t>Reprises sous œuvre</t>
  </si>
  <si>
    <t>Rebouchege d'une VB</t>
  </si>
  <si>
    <t>Volet d'air neuf</t>
  </si>
  <si>
    <t>Rebouchage d'une VH</t>
  </si>
  <si>
    <t>Autres travaux de désenfumage</t>
  </si>
  <si>
    <t>Suppression de l'amenée d'air ZF0C10</t>
  </si>
  <si>
    <t>Suppression de la ventilation haute TDEZF0B5</t>
  </si>
  <si>
    <t>Raccordement sur GTC</t>
  </si>
  <si>
    <t>Confinements de chantier</t>
  </si>
  <si>
    <t>Etanchéité des murs enterrés</t>
  </si>
  <si>
    <t>compris</t>
  </si>
  <si>
    <t>VRD</t>
  </si>
  <si>
    <t>Enrobé bitumineux VL</t>
  </si>
  <si>
    <t>Marquage au sol</t>
  </si>
  <si>
    <t>TOTAL VRD</t>
  </si>
  <si>
    <t>MACONNERIE ET SERRURERIE</t>
  </si>
  <si>
    <t>TOTAL MACONNERIE ET SERRURERIE</t>
  </si>
  <si>
    <t>Reprise des sciages de murs d'enceinte</t>
  </si>
  <si>
    <t>Massifs béton armés de supportage</t>
  </si>
  <si>
    <t>Clôtures</t>
  </si>
  <si>
    <t>Panneaux de signalisations</t>
  </si>
  <si>
    <t>Bornes anti-béliers</t>
  </si>
  <si>
    <t>Portillon de clôture</t>
  </si>
  <si>
    <t>ESPACES VERTS</t>
  </si>
  <si>
    <t>Support de végétalisation</t>
  </si>
  <si>
    <t>Terre Végétale</t>
  </si>
  <si>
    <t>Mise en place de végétaux</t>
  </si>
  <si>
    <t>Pots plantés</t>
  </si>
  <si>
    <t>Clous scellés Bandes podotactiles</t>
  </si>
  <si>
    <t>Places PMR</t>
  </si>
  <si>
    <t>Délimitation des places de stationnement</t>
  </si>
  <si>
    <t>Zebras</t>
  </si>
  <si>
    <t>Fléchage directionnel</t>
  </si>
  <si>
    <t>Bande STOP ou CEDEZ LE PASSAGE</t>
  </si>
  <si>
    <t>Dallage extérieur véhicule</t>
  </si>
  <si>
    <t xml:space="preserve">Dallage extérieur piéton </t>
  </si>
  <si>
    <t xml:space="preserve">Drain périphérique </t>
  </si>
  <si>
    <t>Châssis vitré fixe 30 dB toute hauteur</t>
  </si>
  <si>
    <t>RESEAUX SOUS DALLAGE</t>
  </si>
  <si>
    <t>Siphon inox</t>
  </si>
  <si>
    <t>TOTAL RESEAUX SOUS DALLAGE</t>
  </si>
  <si>
    <t>Engravure décorative du logo "Hôpital du Gier"</t>
  </si>
  <si>
    <t>Engravure décorative du mot "Ambulances"</t>
  </si>
  <si>
    <t>ADAPTATIONS ET MODIFICATIONS DES ELEVATIONS EXISTANTES</t>
  </si>
  <si>
    <t>TOTAL MODIFICATIONS DES ELEVATIONS EXISTANTES</t>
  </si>
  <si>
    <t>Renfort poteau existant en façade suite à découpe d'allège</t>
  </si>
  <si>
    <t>OUVRAGE EN SUPERSTRUCTURE</t>
  </si>
  <si>
    <t>OUVRAGE EN INFRASTRUCTURE</t>
  </si>
  <si>
    <t>TOTAL OUVRAGE EN INFRASTRUCTURE</t>
  </si>
  <si>
    <t>TOTAL OUVRAGE EN SUPERSTRUCTURE</t>
  </si>
  <si>
    <t>Voiles béton armé épaisseur 20cm (vide pour plein)</t>
  </si>
  <si>
    <t>Poteaux</t>
  </si>
  <si>
    <t>Poutres  (toute hauteur) + poutre LT ambulance</t>
  </si>
  <si>
    <t>Dalle béton armé</t>
  </si>
  <si>
    <t>22cm</t>
  </si>
  <si>
    <t>20cm</t>
  </si>
  <si>
    <t>Seuils</t>
  </si>
  <si>
    <t>Relevé en toiture</t>
  </si>
  <si>
    <t>20x45ht</t>
  </si>
  <si>
    <t>Dallage portée</t>
  </si>
  <si>
    <t xml:space="preserve">Couche de regleage </t>
  </si>
  <si>
    <t>Isolant sous dallage (hors zone poutres)</t>
  </si>
  <si>
    <r>
      <t xml:space="preserve">Micro pieux (prof 4m, </t>
    </r>
    <r>
      <rPr>
        <sz val="10"/>
        <rFont val="Aptos Narrow"/>
        <family val="2"/>
      </rPr>
      <t>Φ</t>
    </r>
    <r>
      <rPr>
        <sz val="10"/>
        <rFont val="Calibri"/>
        <family val="2"/>
      </rPr>
      <t xml:space="preserve"> 25 max)</t>
    </r>
  </si>
  <si>
    <t>Isolant périphérique et imperméabilisation</t>
  </si>
  <si>
    <t>FONDATIONS</t>
  </si>
  <si>
    <t>Stores vénitiens</t>
  </si>
  <si>
    <t>GAINES TECHNIQUES</t>
  </si>
  <si>
    <t>TOTAL GAINES TECHNIQUES</t>
  </si>
  <si>
    <t>Banque d'accueil Urgences - sur Hall</t>
  </si>
  <si>
    <t>Banque d'accueil Urgences - sur Attente patients couchés</t>
  </si>
  <si>
    <t>Plan de travail</t>
  </si>
  <si>
    <t>Ensemble guichets Hall d'attente famille</t>
  </si>
  <si>
    <t>Banque d'accueil Hôpital</t>
  </si>
  <si>
    <t>Etagères murales sur mesure</t>
  </si>
  <si>
    <t>MOBILIER SUR MESURE</t>
  </si>
  <si>
    <t>TOTAL MOBILIER  SUR MESURE</t>
  </si>
  <si>
    <t>TOTAL MOBILIER D'AMENAGEMENT</t>
  </si>
  <si>
    <t>MOBILIER D'AMENAGEMENT</t>
  </si>
  <si>
    <t>Paravent séparatif chambres doubles</t>
  </si>
  <si>
    <t>Tableau d'affichage</t>
  </si>
  <si>
    <t>Table/bureau</t>
  </si>
  <si>
    <t>Armoire métallique haute</t>
  </si>
  <si>
    <t>Armoire métallique basse</t>
  </si>
  <si>
    <t>Meuble change-bébé mural rabattable</t>
  </si>
  <si>
    <t>Porte-serviette mural fixe</t>
  </si>
  <si>
    <t>Placard-vestiaire SAS Ambulances</t>
  </si>
  <si>
    <t>Rayonnage métallique modulable</t>
  </si>
  <si>
    <t>Escalier mezzanine Hall d'entrée Hôpital</t>
  </si>
  <si>
    <t>Complément de garde-corps métallique Mezzanine</t>
  </si>
  <si>
    <t>Couvre-joint de dilatation mural</t>
  </si>
  <si>
    <t xml:space="preserve">Miroir </t>
  </si>
  <si>
    <t>Patères murales</t>
  </si>
  <si>
    <r>
      <t xml:space="preserve">Total révisé à valeur Janvier 2024
</t>
    </r>
    <r>
      <rPr>
        <sz val="11"/>
        <color theme="1"/>
        <rFont val="Calibri"/>
        <family val="2"/>
        <scheme val="minor"/>
      </rPr>
      <t xml:space="preserve"> (BT01 - 130,8)</t>
    </r>
  </si>
  <si>
    <t>APS</t>
  </si>
  <si>
    <t>APD</t>
  </si>
  <si>
    <t>PRO</t>
  </si>
  <si>
    <t>ACT</t>
  </si>
  <si>
    <t>VISA</t>
  </si>
  <si>
    <t>EXE Partielle</t>
  </si>
  <si>
    <t>DET</t>
  </si>
  <si>
    <t>AOR</t>
  </si>
  <si>
    <t>Mission de base + EXE Partiel</t>
  </si>
  <si>
    <t>OPC (Mission 1)</t>
  </si>
  <si>
    <t>CSSI (Mission 2)</t>
  </si>
  <si>
    <t>M-11</t>
  </si>
  <si>
    <t>M-10</t>
  </si>
  <si>
    <t>M-9</t>
  </si>
  <si>
    <t>M-8</t>
  </si>
  <si>
    <t>M-7</t>
  </si>
  <si>
    <t>M-6</t>
  </si>
  <si>
    <t>M-5</t>
  </si>
  <si>
    <t>M-4</t>
  </si>
  <si>
    <t>M-3</t>
  </si>
  <si>
    <t>M-12</t>
  </si>
  <si>
    <t>Echéancier financier MOE - Saint Chamond - Page 2/2</t>
  </si>
  <si>
    <t>Valeur de l'ING Index 2010</t>
  </si>
  <si>
    <t>Echéancier financier MOE - Saint Chamond - Page 1/2</t>
  </si>
  <si>
    <t>M36</t>
  </si>
  <si>
    <t>SIGNA (Mission 3)</t>
  </si>
  <si>
    <t>Total TRAVAUX HT révisé à Mi, à fin d'année</t>
  </si>
  <si>
    <t>Total TRAVAUX HT Général</t>
  </si>
  <si>
    <t>Total TRAVAUX HT révisé à Mi</t>
  </si>
  <si>
    <t>Total TRAVAUX HT Brut à valeur Semptembre 2024</t>
  </si>
  <si>
    <t>Total MOE HT Brut à valeur Janvier 2024</t>
  </si>
  <si>
    <t>Total MOE HT révisé à Mi</t>
  </si>
  <si>
    <t>Total MOE HT révisé à Mi à fin d'année</t>
  </si>
  <si>
    <t>Total MOE HT Général</t>
  </si>
  <si>
    <t>Total GENERAL HT Brut non révisé</t>
  </si>
  <si>
    <t>Echéancier financier Travaux - Saint Chamond - Page 1/2</t>
  </si>
  <si>
    <t>Echéancier financier Travaux - Saint Chamond - Page 2/2</t>
  </si>
  <si>
    <t>Repli des installations</t>
  </si>
  <si>
    <t>Barrière levante automatique</t>
  </si>
  <si>
    <t>Coupure et raccordement nouveaux réseaux</t>
  </si>
  <si>
    <t>Volet roulants</t>
  </si>
  <si>
    <t>M-AL-01A</t>
  </si>
  <si>
    <t>M-AL-01B</t>
  </si>
  <si>
    <t>M-AL-02A</t>
  </si>
  <si>
    <t>M-AL-02B</t>
  </si>
  <si>
    <t>M-AL-02C</t>
  </si>
  <si>
    <t>M-AL-02D</t>
  </si>
  <si>
    <t>M-AL-03</t>
  </si>
  <si>
    <t>M-AL-05</t>
  </si>
  <si>
    <t>M-AL-06</t>
  </si>
  <si>
    <t>M-AL-09</t>
  </si>
  <si>
    <t>M-AL-12</t>
  </si>
  <si>
    <t>M-AL-13</t>
  </si>
  <si>
    <t>M-AL-14</t>
  </si>
  <si>
    <t>M-AL-15</t>
  </si>
  <si>
    <t>M-AL-04A</t>
  </si>
  <si>
    <t>M-AL-04B</t>
  </si>
  <si>
    <t>M-AL-04C</t>
  </si>
  <si>
    <t>R-AL-01</t>
  </si>
  <si>
    <t>R-AL-02</t>
  </si>
  <si>
    <t>R-AL-03</t>
  </si>
  <si>
    <t>R-AL-04</t>
  </si>
  <si>
    <t>R-AL-05</t>
  </si>
  <si>
    <t>R-AL-06</t>
  </si>
  <si>
    <t>R-AL-08</t>
  </si>
  <si>
    <t>R-AL-09</t>
  </si>
  <si>
    <t>R-AL-10</t>
  </si>
  <si>
    <t>R-AL-11</t>
  </si>
  <si>
    <t>R-AL-12</t>
  </si>
  <si>
    <t>R-AL-13</t>
  </si>
  <si>
    <t>R-AL-14</t>
  </si>
  <si>
    <t>R-AL-15</t>
  </si>
  <si>
    <t>R-AL-16</t>
  </si>
  <si>
    <t>R-AL-17</t>
  </si>
  <si>
    <t>R-AL-19</t>
  </si>
  <si>
    <t>R-AL-20</t>
  </si>
  <si>
    <t>R-AL-21</t>
  </si>
  <si>
    <t>R-AL-22</t>
  </si>
  <si>
    <t>R-AL-07A</t>
  </si>
  <si>
    <t>R-AL-07B</t>
  </si>
  <si>
    <t>Rappel de l'estimation HT APD validé
à valeur Janvier 2024</t>
  </si>
  <si>
    <t>Réseaux d'eau chaude calorifugés</t>
  </si>
  <si>
    <t>Regard pour raccordement AEP</t>
  </si>
  <si>
    <t>Enrobé bitumineux provisoire VL</t>
  </si>
  <si>
    <t>Regards avec tampons et avaloirs EP - 80 x 80 cm</t>
  </si>
  <si>
    <t>Caniveaux filants à grille en fonte</t>
  </si>
  <si>
    <t>Borne d'appel pour accès barrière levante</t>
  </si>
  <si>
    <t>Engazonnement traditionnel</t>
  </si>
  <si>
    <t xml:space="preserve">M-AL-07A avec ouvrant </t>
  </si>
  <si>
    <t>M-AL-07A sans ouvrant</t>
  </si>
  <si>
    <t>M-AL-07B sans ouvrant</t>
  </si>
  <si>
    <t>M-AL-07B avec ouvrant</t>
  </si>
  <si>
    <t>Reprise de canalisation EP de la casquette existante</t>
  </si>
  <si>
    <t>Pissette et trop-plein</t>
  </si>
  <si>
    <t>Lanterneau fixe EI30</t>
  </si>
  <si>
    <t>Couvertine métallique d'acrotères et poutres</t>
  </si>
  <si>
    <t>Echelle à crinoline</t>
  </si>
  <si>
    <t>Acroche échelle et échelle</t>
  </si>
  <si>
    <t>Saut de loup</t>
  </si>
  <si>
    <t>Garde-corps de toiture terrasse</t>
  </si>
  <si>
    <t>Prescriptions générales</t>
  </si>
  <si>
    <t>Documents d'exécution</t>
  </si>
  <si>
    <t>Dossier de recolement</t>
  </si>
  <si>
    <t>Tube AEP en PeHD (hors tranchée)</t>
  </si>
  <si>
    <r>
      <t xml:space="preserve">Tube cuivre </t>
    </r>
    <r>
      <rPr>
        <sz val="10"/>
        <rFont val="Aptos Narrow"/>
        <family val="2"/>
      </rPr>
      <t>Ø</t>
    </r>
    <r>
      <rPr>
        <sz val="8.5"/>
        <rFont val="Calibri"/>
        <family val="2"/>
      </rPr>
      <t xml:space="preserve"> 16 à 28</t>
    </r>
    <r>
      <rPr>
        <sz val="10"/>
        <rFont val="Calibri"/>
        <family val="2"/>
      </rPr>
      <t xml:space="preserve"> calorifugé</t>
    </r>
  </si>
  <si>
    <t>Vanne d'isolement 1/4 de tour</t>
  </si>
  <si>
    <t>Vanne d'équilibrage</t>
  </si>
  <si>
    <r>
      <t xml:space="preserve">Tube PVC </t>
    </r>
    <r>
      <rPr>
        <sz val="10"/>
        <rFont val="Aptos Narrow"/>
        <family val="2"/>
      </rPr>
      <t>Ø</t>
    </r>
    <r>
      <rPr>
        <sz val="8.5"/>
        <rFont val="Calibri"/>
        <family val="2"/>
      </rPr>
      <t xml:space="preserve"> 100</t>
    </r>
  </si>
  <si>
    <t>Synthèse</t>
  </si>
  <si>
    <t>Description des ouvrages</t>
  </si>
  <si>
    <t>Continuité de service</t>
  </si>
  <si>
    <t>Canalisations enterrées préisolée</t>
  </si>
  <si>
    <t>Emission calorifique et frigorifique</t>
  </si>
  <si>
    <t>Radiateur neuf</t>
  </si>
  <si>
    <t>Réseaux de distribution</t>
  </si>
  <si>
    <t>Conduit rectangulaire</t>
  </si>
  <si>
    <t>kg</t>
  </si>
  <si>
    <t>Conduit de ventilation circulaire Ø 400</t>
  </si>
  <si>
    <t>Ventilation des locaux pour risque infectieux</t>
  </si>
  <si>
    <t>Bouche d'extraction</t>
  </si>
  <si>
    <t>Registre de fermeture manuel</t>
  </si>
  <si>
    <t>Extracteur</t>
  </si>
  <si>
    <t>Régulation - Gestion technique centralisée</t>
  </si>
  <si>
    <t>Régulation des UTA</t>
  </si>
  <si>
    <t>Travaux électriques</t>
  </si>
  <si>
    <t>Raccordement électriques</t>
  </si>
  <si>
    <t>Adjonction de Départ et liaison Normal Issu du TGBT 2</t>
  </si>
  <si>
    <t>Départ Général Extension TGBT2 400A y compris liaison</t>
  </si>
  <si>
    <t>Colonnes d'extension TGBT2</t>
  </si>
  <si>
    <t>TDO Accueil</t>
  </si>
  <si>
    <t>Nouveaux TD de distribution normal et ondulé</t>
  </si>
  <si>
    <t>TD Accueil</t>
  </si>
  <si>
    <t>TD Kiosque</t>
  </si>
  <si>
    <t>TD Urgence FILIERE COURTE</t>
  </si>
  <si>
    <t xml:space="preserve">TD Urgence FILIERE LONGUE + UHTCD + CD </t>
  </si>
  <si>
    <t>LOT 13C - Fluides médicaux</t>
  </si>
  <si>
    <t>LOT 13A - CVC et Désenfumage</t>
  </si>
  <si>
    <t>LOT 13B - Plomberie Sanitaires</t>
  </si>
  <si>
    <t>Accès patients en transits (patients assis)</t>
  </si>
  <si>
    <t>Accès patients en transits (patients couchés)</t>
  </si>
  <si>
    <t>Accès SAS de transfert depuis SAS Ambulances</t>
  </si>
  <si>
    <t>Accès attente patients couchés des Urgences depuis le SAS de transfert Ambulance</t>
  </si>
  <si>
    <t>Baffle acoustique suspendue</t>
  </si>
  <si>
    <t>Trappes de visite étanche en plafond</t>
  </si>
  <si>
    <t>Trappes de visite en plafond</t>
  </si>
  <si>
    <t>Dépose et repose support rideau de douches NRBC</t>
  </si>
  <si>
    <t>Remise en peinture toiture vitrée Hall</t>
  </si>
  <si>
    <t>Cloisons SAA 120</t>
  </si>
  <si>
    <t>Faux-plafonds fixes</t>
  </si>
  <si>
    <t>Enduit GS</t>
  </si>
  <si>
    <t>II.</t>
  </si>
  <si>
    <t>Mission G3</t>
  </si>
  <si>
    <t>Forf.</t>
  </si>
  <si>
    <t xml:space="preserve">Pieux forés injectés (tarière creuse) </t>
  </si>
  <si>
    <t>Amenée et repli du matériel pour pieux</t>
  </si>
  <si>
    <t>Pieux- diam 42 prof moyenne 6m</t>
  </si>
  <si>
    <t>Recepage de têtes de pieux</t>
  </si>
  <si>
    <t>Micro-Pieux</t>
  </si>
  <si>
    <t>Amenée et repli du matériel pour micropieux</t>
  </si>
  <si>
    <t>Remise en etat de la plate-forme</t>
  </si>
  <si>
    <t>Evacuation des déchets/déblais de forage</t>
  </si>
  <si>
    <t>Cloison 98/48 en allège sur paroi vitrée</t>
  </si>
  <si>
    <t>Cloison 98/48 en linteau sur paroi vitrée</t>
  </si>
  <si>
    <t>DOCUMENTS A FOURNIR</t>
  </si>
  <si>
    <t>1.1</t>
  </si>
  <si>
    <t>Etudes et plans d’exécution</t>
  </si>
  <si>
    <t>Dossier des Ouvrages exécutés et documents de recollement</t>
  </si>
  <si>
    <t>TOTAL DOCUMENTS A FOURNIR</t>
  </si>
  <si>
    <t>Base Vie, Branchement de chantier, Implantation, huissier, gestion des déchets. Etc.</t>
  </si>
  <si>
    <t>TERRASSEMENTS</t>
  </si>
  <si>
    <t>3.1</t>
  </si>
  <si>
    <t>Terrassements complementaires</t>
  </si>
  <si>
    <r>
      <t>m</t>
    </r>
    <r>
      <rPr>
        <vertAlign val="superscript"/>
        <sz val="10"/>
        <rFont val="Calibri"/>
        <family val="2"/>
      </rPr>
      <t>3</t>
    </r>
  </si>
  <si>
    <t>3.2</t>
  </si>
  <si>
    <t>Remblaiments périphériques</t>
  </si>
  <si>
    <t>3.3</t>
  </si>
  <si>
    <t>TOTAL TERRASSEMENTS</t>
  </si>
  <si>
    <t>4.1</t>
  </si>
  <si>
    <t>4.2</t>
  </si>
  <si>
    <t>Mise à la terre</t>
  </si>
  <si>
    <t>4.3</t>
  </si>
  <si>
    <t>4.4</t>
  </si>
  <si>
    <t>4.5</t>
  </si>
  <si>
    <r>
      <t xml:space="preserve">Regards </t>
    </r>
    <r>
      <rPr>
        <b/>
        <sz val="10"/>
        <rFont val="Calibri"/>
        <family val="2"/>
      </rPr>
      <t>EP</t>
    </r>
    <r>
      <rPr>
        <sz val="10"/>
        <rFont val="Calibri"/>
        <family val="2"/>
      </rPr>
      <t xml:space="preserve"> de raccordement et pieds de chute</t>
    </r>
  </si>
  <si>
    <t>4.6</t>
  </si>
  <si>
    <t>Regards de visite à tampon hydrauliques - 80 x 80 cm</t>
  </si>
  <si>
    <r>
      <t xml:space="preserve">Regards </t>
    </r>
    <r>
      <rPr>
        <b/>
        <sz val="10"/>
        <rFont val="Calibri"/>
        <family val="2"/>
      </rPr>
      <t>EP</t>
    </r>
    <r>
      <rPr>
        <sz val="10"/>
        <rFont val="Calibri"/>
        <family val="2"/>
      </rPr>
      <t xml:space="preserve"> </t>
    </r>
  </si>
  <si>
    <r>
      <t xml:space="preserve">Regards </t>
    </r>
    <r>
      <rPr>
        <b/>
        <sz val="10"/>
        <rFont val="Calibri"/>
        <family val="2"/>
      </rPr>
      <t>EU</t>
    </r>
  </si>
  <si>
    <t>4.7</t>
  </si>
  <si>
    <t>4.8</t>
  </si>
  <si>
    <t>Cuve de rétention des eaux souillées</t>
  </si>
  <si>
    <t>5.1</t>
  </si>
  <si>
    <t>Massif de micropieux (hy 45x45x40ht)</t>
  </si>
  <si>
    <t>5.2</t>
  </si>
  <si>
    <t>Massif des pieux (hy 55x55x50ht)</t>
  </si>
  <si>
    <t>5.3</t>
  </si>
  <si>
    <t xml:space="preserve">Dallage ep. 20cm </t>
  </si>
  <si>
    <t xml:space="preserve">Dallage ep. 23cm </t>
  </si>
  <si>
    <t>Plue value béton desactivé terrasse ext (zone patio central)</t>
  </si>
  <si>
    <t>Plue value fome des pentes dans le sas ambulance</t>
  </si>
  <si>
    <t>Forf</t>
  </si>
  <si>
    <t>5.4</t>
  </si>
  <si>
    <t>5.5</t>
  </si>
  <si>
    <t>Longrines (Volume de retombé)</t>
  </si>
  <si>
    <t>6.1</t>
  </si>
  <si>
    <t>6.2</t>
  </si>
  <si>
    <t>6.3</t>
  </si>
  <si>
    <t>6.4</t>
  </si>
  <si>
    <t>6.5</t>
  </si>
  <si>
    <t xml:space="preserve">Coupleurs (sur deux poutres entre les blocs SCCM et IAO) </t>
  </si>
  <si>
    <t>forf</t>
  </si>
  <si>
    <t>6.6</t>
  </si>
  <si>
    <t>23cm</t>
  </si>
  <si>
    <t>Carrotage, percements, rebouchage dans l'existant</t>
  </si>
  <si>
    <t>8.1</t>
  </si>
  <si>
    <t>8.2</t>
  </si>
  <si>
    <t>Traitement Joints des JD contre le bâtiment existant</t>
  </si>
  <si>
    <t>JD vertical (mur) (+couvre joint)</t>
  </si>
  <si>
    <t>JD horizontal (dallage porté)</t>
  </si>
  <si>
    <t>8.3</t>
  </si>
  <si>
    <t>Réservations, percements, rebouchages, encastrements dans le neuf</t>
  </si>
  <si>
    <t>8.4</t>
  </si>
  <si>
    <t>8.5</t>
  </si>
  <si>
    <t>8.6</t>
  </si>
  <si>
    <t>Modification de contreventement des escaliers extérieurs existantes</t>
  </si>
  <si>
    <t>Siphon de sol pour revêtement PVC</t>
  </si>
  <si>
    <t>LOT 03 - Gros Œuvre</t>
  </si>
  <si>
    <t>LOT 08 - Confinement, cloisonnement, doublage, Faux-plafond fixe, peinture</t>
  </si>
  <si>
    <t>Ensemble Kiosque</t>
  </si>
  <si>
    <t>Arceau de parking rabatable à clés</t>
  </si>
  <si>
    <t>Bloc-porte Type W</t>
  </si>
  <si>
    <t>Bloc-porte Type Z</t>
  </si>
  <si>
    <t>Bloc-porte Type Y</t>
  </si>
  <si>
    <t>Bloc-porte Type X</t>
  </si>
  <si>
    <t>Bloc-porte Type N bis</t>
  </si>
  <si>
    <t>Bloc-porte Type A bis</t>
  </si>
  <si>
    <t>5.6</t>
  </si>
  <si>
    <t>Plot béton linéaire - fixation des câbles tendus</t>
  </si>
  <si>
    <t>5.7</t>
  </si>
  <si>
    <t>5.8</t>
  </si>
  <si>
    <t>Cloison en careau de plâtre</t>
  </si>
  <si>
    <t>Tablette bois</t>
  </si>
  <si>
    <t>Remblais généraux</t>
  </si>
  <si>
    <t>Bloc-porte Type Ebis</t>
  </si>
  <si>
    <t>Bordures P1</t>
  </si>
  <si>
    <t>Regards avec tampons EU - 80 x 80 cm</t>
  </si>
  <si>
    <r>
      <t xml:space="preserve">Regards </t>
    </r>
    <r>
      <rPr>
        <b/>
        <sz val="10"/>
        <rFont val="Calibri"/>
        <family val="2"/>
      </rPr>
      <t>EU</t>
    </r>
    <r>
      <rPr>
        <sz val="10"/>
        <rFont val="Calibri"/>
        <family val="2"/>
      </rPr>
      <t xml:space="preserve"> avec vanne de bascule - 80 x 80 cm</t>
    </r>
  </si>
  <si>
    <t>M-AL-11 + M-AL-11B</t>
  </si>
  <si>
    <t>Faux-plafonds démontables 600x600 décoratif, ossature apparente</t>
  </si>
  <si>
    <t>Peinture sur béton - Plafond</t>
  </si>
  <si>
    <t>Reprise de faux-plafond ponctuelle</t>
  </si>
  <si>
    <t>Peinture sur béton - Mur</t>
  </si>
  <si>
    <t>Doublage sur tableaux de menuiserie et porte</t>
  </si>
  <si>
    <t>Bute-roues</t>
  </si>
  <si>
    <t>Dépose et rebouchement de courette anglaise</t>
  </si>
  <si>
    <t>Bordures T2 et T2 surbaissées</t>
  </si>
  <si>
    <t>Protections murales en crédence</t>
  </si>
  <si>
    <t>Protections murales en panneaux PVC</t>
  </si>
  <si>
    <t>placard sur mesure avec digicode</t>
  </si>
  <si>
    <t>Dallage 15cm sur terre-plein (y compris couche de regleage)</t>
  </si>
  <si>
    <t>24x45ht</t>
  </si>
  <si>
    <t>20x130ht</t>
  </si>
  <si>
    <t>24x130ht</t>
  </si>
  <si>
    <t>7.1</t>
  </si>
  <si>
    <t>Création d’ouverture dans mur existant pleins</t>
  </si>
  <si>
    <t>7.2</t>
  </si>
  <si>
    <t>Elargissement d’ouverture existante</t>
  </si>
  <si>
    <t>7.3</t>
  </si>
  <si>
    <t>Création d’ouvertures – sciage et démolition d’allèges</t>
  </si>
  <si>
    <t>7.4</t>
  </si>
  <si>
    <t>7.5</t>
  </si>
  <si>
    <t>7.6</t>
  </si>
  <si>
    <t>Bouchement de façade, en agglomérés creux et enduit lissé
      Compris(à minima): 
      Reconstitution de linteau en façade et bouchement sur linteau
      Bouchage des fenetres existantes au niveau du patio central
      Création d'allège en façade</t>
  </si>
  <si>
    <t>7.7</t>
  </si>
  <si>
    <t>Coffre caisson tunnel en linteaux pour encastrement des volets roulants. Prix fourniture uniquement. Pose comprise dans le prix au m² du mur</t>
  </si>
  <si>
    <t xml:space="preserve">Largeurs 55; 90 cm </t>
  </si>
  <si>
    <t xml:space="preserve">Largeurs 115; 150; 160; 175 cm </t>
  </si>
  <si>
    <t>Largeurs 220; 250 cm</t>
  </si>
  <si>
    <t>JD horizontal (Dalle PHRDC)/Sciages des modénatures de la façade existante au niveau de l’acrotère. Linéaire du JD contre façade</t>
  </si>
  <si>
    <t>Mur en blocs à bancher (vide pour plein)</t>
  </si>
  <si>
    <t>Enduit ciment intérieur (vide deduit)</t>
  </si>
  <si>
    <t>6.7</t>
  </si>
  <si>
    <t>Engazonnement type prairie fleurie</t>
  </si>
  <si>
    <t>Fléchage signalétiques</t>
  </si>
  <si>
    <t>Reservations pour passage de gaine de ventilation</t>
  </si>
  <si>
    <t>Mobilier - poubelle</t>
  </si>
  <si>
    <t>Mobilier - banquette</t>
  </si>
  <si>
    <t>Lettrage ou numérotation vinyle - Petite Taille</t>
  </si>
  <si>
    <t>Lettrage ou numérotation vinyle - Moyenne Taille</t>
  </si>
  <si>
    <t>Lettrage ou numérotation vinyle - Grande Taille</t>
  </si>
  <si>
    <t>Plaque en drapeau</t>
  </si>
  <si>
    <t>Plaque en applique</t>
  </si>
  <si>
    <t xml:space="preserve">CHEMINS DE CÂBLES CFO </t>
  </si>
  <si>
    <t>Va et vient</t>
  </si>
  <si>
    <t>Interrupteurs Double Allumage (DSA)</t>
  </si>
  <si>
    <t>Interrupteurs Simple Allumage Etanche (SAE)</t>
  </si>
  <si>
    <t>PCN Etanche</t>
  </si>
  <si>
    <t>PDT 01</t>
  </si>
  <si>
    <t>PDT 03</t>
  </si>
  <si>
    <t>PC Triphasé</t>
  </si>
  <si>
    <t>SURETE / Contrôle d'acces / Intrusion</t>
  </si>
  <si>
    <t>Alimentation.Scialytique</t>
  </si>
  <si>
    <t>AlimentationGrille de sécurité</t>
  </si>
  <si>
    <t>AlimentationPorte à enroulement</t>
  </si>
  <si>
    <t>AlimentationPorte coulissante</t>
  </si>
  <si>
    <t>AlimentationPreneur</t>
  </si>
  <si>
    <t>Eclairage T10</t>
  </si>
  <si>
    <t>Eclairage T11 Ext</t>
  </si>
  <si>
    <t>Eclairage T12 Ext</t>
  </si>
  <si>
    <t>Eclairage T13 Ext</t>
  </si>
  <si>
    <t>Module CMSI et UCMC</t>
  </si>
  <si>
    <t>Mise à jour de l'UAE</t>
  </si>
  <si>
    <t>Dépose de caméras</t>
  </si>
  <si>
    <t>Déplacement de caméras</t>
  </si>
  <si>
    <t>Ajout de caméras</t>
  </si>
  <si>
    <t xml:space="preserve">TOTAL VIDEOSURVEILLANCE </t>
  </si>
  <si>
    <t>Dépose des Armoires selon  phasage du projet (ECL / PCN / PCO / FM / DIVERS)</t>
  </si>
  <si>
    <t xml:space="preserve">TD Urgences RDC 6 </t>
  </si>
  <si>
    <t>TD Urgences RDC TI12 + IT MED</t>
  </si>
  <si>
    <t xml:space="preserve">TD Financière </t>
  </si>
  <si>
    <t xml:space="preserve">TD Jaret </t>
  </si>
  <si>
    <t>TD Colonne centre RDC</t>
  </si>
  <si>
    <t>AlimentationUTA</t>
  </si>
  <si>
    <t>AlimentationRecycleur</t>
  </si>
  <si>
    <t>Détection incendie et renvoi au PCS depuis une boucle dédiée "Détection chantier" pendant la toute la durée du chantier</t>
  </si>
  <si>
    <t>Confortement du mur de soutènement par cloutage</t>
  </si>
  <si>
    <t>Réalisation du confortement par cloutage + mise en place des
barbacanes</t>
  </si>
  <si>
    <t>Essais et contrôles</t>
  </si>
  <si>
    <t/>
  </si>
  <si>
    <t>Réseau AEP</t>
  </si>
  <si>
    <t>4.9</t>
  </si>
  <si>
    <t>5.9</t>
  </si>
  <si>
    <t>Plots béton pour accès échelles</t>
  </si>
  <si>
    <t>Costières de traversées d'étanchéité grosses sections</t>
  </si>
  <si>
    <t>Grille de vnetilation de plénum fixe</t>
  </si>
  <si>
    <t xml:space="preserve">Déclencheur manuel rouge y compris accessoires </t>
  </si>
  <si>
    <t xml:space="preserve">Déclencheur manuel vert y compris accessoires </t>
  </si>
  <si>
    <t>Liaison CMSI - coffret de relayage tourelle de désenfumage</t>
  </si>
  <si>
    <t>Liaisons CMSI commande nouvelle VH et VB</t>
  </si>
  <si>
    <t>Liaison CMSI pilotage CCF</t>
  </si>
  <si>
    <t>Réarmement CCF
Sur boitier existant</t>
  </si>
  <si>
    <t>Lecteur Digicode</t>
  </si>
  <si>
    <t>CP</t>
  </si>
  <si>
    <t>ENS</t>
  </si>
  <si>
    <t>ALARME INTRUSION</t>
  </si>
  <si>
    <t>Contact de porte</t>
  </si>
  <si>
    <t>Extension de l'installation existante</t>
  </si>
  <si>
    <t xml:space="preserve">Remontée d'alarme à la GTC /PCS/DECT </t>
  </si>
  <si>
    <t>Configuration de la centrale existante</t>
  </si>
  <si>
    <t>TOTAL ALARME INTRUSION</t>
  </si>
  <si>
    <t>DISPOSITIF ALARME POUR TRAVAILLEUR ISOLE</t>
  </si>
  <si>
    <t>SO</t>
  </si>
  <si>
    <t>MAUVAIS COPIER/COLLER du chapitre</t>
  </si>
  <si>
    <t>Bouton alarme travailleur isole
bouton ramener (contact) au PCS raccordé sur la centrale intrusion</t>
  </si>
  <si>
    <t>TRAVAUX DE DEPOSES CFO CFA  CFA / SSI / VDI</t>
  </si>
  <si>
    <r>
      <t xml:space="preserve">TDN ISO
</t>
    </r>
    <r>
      <rPr>
        <sz val="10"/>
        <color rgb="FF0070C0"/>
        <rFont val="Calibri"/>
        <family val="2"/>
      </rPr>
      <t>départ existant</t>
    </r>
  </si>
  <si>
    <r>
      <t xml:space="preserve">TDN Accueil
</t>
    </r>
    <r>
      <rPr>
        <sz val="10"/>
        <color rgb="FF0070C0"/>
        <rFont val="Calibri"/>
        <family val="2"/>
      </rPr>
      <t>nouveau départ dans TGBT 1</t>
    </r>
  </si>
  <si>
    <r>
      <t xml:space="preserve">TDN Urgence Longue + UHTCD
</t>
    </r>
    <r>
      <rPr>
        <sz val="10"/>
        <color rgb="FF0070C0"/>
        <rFont val="Calibri"/>
        <family val="2"/>
      </rPr>
      <t>Nouveau départ dans TGBT 1</t>
    </r>
  </si>
  <si>
    <r>
      <t xml:space="preserve">TDN Urgence Courte 
</t>
    </r>
    <r>
      <rPr>
        <sz val="10"/>
        <color rgb="FF0070C0"/>
        <rFont val="Calibri"/>
        <family val="2"/>
      </rPr>
      <t>départ existant dans TGBT1</t>
    </r>
  </si>
  <si>
    <r>
      <t xml:space="preserve">ARMOIRE IT MED
</t>
    </r>
    <r>
      <rPr>
        <sz val="10"/>
        <color rgb="FFFF0000"/>
        <rFont val="Calibri"/>
        <family val="2"/>
      </rPr>
      <t>Pas de départ dans le TGBT suite à alignement technique</t>
    </r>
  </si>
  <si>
    <r>
      <rPr>
        <sz val="10"/>
        <color rgb="FFFF0000"/>
        <rFont val="Calibri"/>
        <family val="2"/>
      </rPr>
      <t xml:space="preserve">TDN SCCM 
Ajout car non prévu dans DPGF
</t>
    </r>
    <r>
      <rPr>
        <sz val="10"/>
        <color rgb="FF0070C0"/>
        <rFont val="Calibri"/>
        <family val="2"/>
      </rPr>
      <t>départ existant dans TGBT1</t>
    </r>
  </si>
  <si>
    <r>
      <t xml:space="preserve">TDN ISO
</t>
    </r>
    <r>
      <rPr>
        <sz val="10"/>
        <color rgb="FF0070C0"/>
        <rFont val="Calibri"/>
        <family val="2"/>
      </rPr>
      <t>départ nouveau en IS223 inclus dans l'extension</t>
    </r>
  </si>
  <si>
    <r>
      <t xml:space="preserve">TDN Accueil
</t>
    </r>
    <r>
      <rPr>
        <sz val="10"/>
        <color rgb="FFFF0000"/>
        <rFont val="Calibri"/>
        <family val="2"/>
      </rPr>
      <t>prévu en simple attache sur synotique(pas de départ de prévu dans extension TGBT et pas d'inverseur de source dans le TD)</t>
    </r>
  </si>
  <si>
    <r>
      <t xml:space="preserve">TDN Urgence Longue + UHTCD
</t>
    </r>
    <r>
      <rPr>
        <sz val="10"/>
        <color rgb="FF0070C0"/>
        <rFont val="Calibri"/>
        <family val="2"/>
      </rPr>
      <t>départ nouveau en IS223 inclus dans l'extension</t>
    </r>
  </si>
  <si>
    <r>
      <t xml:space="preserve">TDN Urgence Courte 
</t>
    </r>
    <r>
      <rPr>
        <sz val="10"/>
        <color rgb="FF0070C0"/>
        <rFont val="Calibri"/>
        <family val="2"/>
      </rPr>
      <t>départ nouveau en IS223 inclus dans l'extension</t>
    </r>
  </si>
  <si>
    <r>
      <t xml:space="preserve">ARMOIRE IT MED N
</t>
    </r>
    <r>
      <rPr>
        <sz val="10"/>
        <color rgb="FFFF0000"/>
        <rFont val="Calibri"/>
        <family val="2"/>
      </rPr>
      <t>Pas de départ dans le TGBT suite à alignement technique</t>
    </r>
  </si>
  <si>
    <r>
      <t xml:space="preserve">TDO Urgence Longue + UHTCD
</t>
    </r>
    <r>
      <rPr>
        <sz val="10"/>
        <color rgb="FFFF0000"/>
        <rFont val="Calibri"/>
        <family val="2"/>
      </rPr>
      <t>changement de Qt 2 car il y a un inverseur de source (alim depuis ond 1 et 2)</t>
    </r>
  </si>
  <si>
    <r>
      <t xml:space="preserve">TDO Urgence Courte
</t>
    </r>
    <r>
      <rPr>
        <sz val="10"/>
        <color rgb="FFFF0000"/>
        <rFont val="Calibri"/>
        <family val="2"/>
      </rPr>
      <t>changement de Qt 2 car il y a un inverseur de source (alim depuis ond 1 et 2)</t>
    </r>
  </si>
  <si>
    <r>
      <t xml:space="preserve">BOX déchocage
</t>
    </r>
    <r>
      <rPr>
        <sz val="10"/>
        <color rgb="FFFF0000"/>
        <rFont val="Calibri"/>
        <family val="2"/>
      </rPr>
      <t>changement de Qt 2 car il y a un inverseur de source (alim depuis ond 1 et 2)</t>
    </r>
  </si>
  <si>
    <r>
      <t xml:space="preserve">Salle ISO
</t>
    </r>
    <r>
      <rPr>
        <sz val="10"/>
        <color rgb="FFFF0000"/>
        <rFont val="Calibri"/>
        <family val="2"/>
      </rPr>
      <t>changement de Qt 2 car il y a un inverseur de source (alim depuis ond 1 et 2)</t>
    </r>
  </si>
  <si>
    <t>TD SCCM
Manque sur DPGF</t>
  </si>
  <si>
    <t>Zone de garde
Manque sur DPGF</t>
  </si>
  <si>
    <t>Armoire IT MED  + STS + CPI +  Transfo 10Kva (Alim 40A)</t>
  </si>
  <si>
    <t>Coffret Zone de garde - 
Non prévu dans la DPGF</t>
  </si>
  <si>
    <t>Detecteur T1</t>
  </si>
  <si>
    <t>Detecteur T2</t>
  </si>
  <si>
    <t>Detecteur T3</t>
  </si>
  <si>
    <t>Détecteur T4</t>
  </si>
  <si>
    <t>PDT 02</t>
  </si>
  <si>
    <t>ML</t>
  </si>
  <si>
    <t>Colonne murale déchocage x3 et ISO7 x1</t>
  </si>
  <si>
    <r>
      <t xml:space="preserve">GTL chambre avec éclairage et veilleuse
</t>
    </r>
    <r>
      <rPr>
        <sz val="10"/>
        <color rgb="FFFF0000"/>
        <rFont val="Calibri"/>
        <family val="2"/>
      </rPr>
      <t>6 sur plans</t>
    </r>
  </si>
  <si>
    <r>
      <t xml:space="preserve">GTL ISO7 
</t>
    </r>
    <r>
      <rPr>
        <sz val="10"/>
        <color rgb="FFFF0000"/>
        <rFont val="Calibri"/>
        <family val="2"/>
      </rPr>
      <t>erreur dénomination GTL salle d'attente (sans eclairage)
8 sur plan</t>
    </r>
  </si>
  <si>
    <r>
      <t xml:space="preserve">AlimentationExtraction risque infectieux
</t>
    </r>
    <r>
      <rPr>
        <sz val="10"/>
        <color rgb="FFFF0000"/>
        <rFont val="Calibri"/>
        <family val="2"/>
      </rPr>
      <t>3 sur les plans</t>
    </r>
  </si>
  <si>
    <r>
      <t xml:space="preserve">AlimentationTourelle de désenfumage
</t>
    </r>
    <r>
      <rPr>
        <sz val="10"/>
        <color rgb="FF0070C0"/>
        <rFont val="Calibri"/>
        <family val="2"/>
      </rPr>
      <t>yc départ type MA dans le TGS et liaison en CR1</t>
    </r>
  </si>
  <si>
    <r>
      <t xml:space="preserve">Eclairage T1G
</t>
    </r>
    <r>
      <rPr>
        <sz val="10"/>
        <color rgb="FFFF0000"/>
        <rFont val="Calibri"/>
        <family val="2"/>
      </rPr>
      <t>-6 T1G de la salle de déchocage passe en type T9
+5 qui manque sur plan et DPGF</t>
    </r>
  </si>
  <si>
    <r>
      <t xml:space="preserve">Eclairage T2
</t>
    </r>
    <r>
      <rPr>
        <sz val="10"/>
        <color rgb="FFFF0000"/>
        <rFont val="Calibri"/>
        <family val="2"/>
      </rPr>
      <t>+10 qui manque sur plans et DPGF</t>
    </r>
  </si>
  <si>
    <r>
      <t xml:space="preserve">Eclairage T5 BIS
</t>
    </r>
    <r>
      <rPr>
        <sz val="10"/>
        <color rgb="FFFF0000"/>
        <rFont val="Calibri"/>
        <family val="2"/>
      </rPr>
      <t>manque 1 sur DPGF</t>
    </r>
  </si>
  <si>
    <r>
      <t xml:space="preserve">Eclairage T9
</t>
    </r>
    <r>
      <rPr>
        <sz val="10"/>
        <color rgb="FFFF0000"/>
        <rFont val="Calibri"/>
        <family val="2"/>
      </rPr>
      <t>salle de déchocage même luminaire type salle blanche que salle ISO (soit +6)</t>
    </r>
  </si>
  <si>
    <t>Eclairage T10 G</t>
  </si>
  <si>
    <t>Eclairage GTL (Veilleuse)</t>
  </si>
  <si>
    <t>Eclairage GTL (Ambiance)</t>
  </si>
  <si>
    <t>Eclairage Applique tête de lit chambre de garde
non présent sur DPGF mais sur plan</t>
  </si>
  <si>
    <r>
      <t xml:space="preserve">Eclairage T8 Ext
</t>
    </r>
    <r>
      <rPr>
        <sz val="10"/>
        <color rgb="FFFF0000"/>
        <rFont val="Calibri"/>
        <family val="2"/>
      </rPr>
      <t>pas de type 8 dans CCTP et sur plans</t>
    </r>
  </si>
  <si>
    <r>
      <t xml:space="preserve">Eclairage Signalétique LOGO des urgences
</t>
    </r>
    <r>
      <rPr>
        <sz val="10"/>
        <color rgb="FF0070C0"/>
        <rFont val="Calibri"/>
        <family val="2"/>
      </rPr>
      <t>alimentation seulement</t>
    </r>
  </si>
  <si>
    <r>
      <t xml:space="preserve">Armoire Châssis </t>
    </r>
    <r>
      <rPr>
        <i/>
        <sz val="10"/>
        <color rgb="FF0070C0"/>
        <rFont val="Calibri"/>
        <family val="2"/>
      </rPr>
      <t>(moins/plus value à appliquer sur le prix du TD)</t>
    </r>
  </si>
  <si>
    <t>TD ZDG</t>
  </si>
  <si>
    <t>TD ISO 7</t>
  </si>
  <si>
    <t>I.12</t>
  </si>
  <si>
    <t>I.14</t>
  </si>
  <si>
    <t>Contrôles et essais</t>
  </si>
  <si>
    <t>I.15</t>
  </si>
  <si>
    <t>Documents à remettre par l'entreprise</t>
  </si>
  <si>
    <t>IV.1</t>
  </si>
  <si>
    <t>Travaux de dépose phase 1</t>
  </si>
  <si>
    <t>Travaux de dépose phase 2</t>
  </si>
  <si>
    <t>Travaux de dépose phase 3</t>
  </si>
  <si>
    <t>Travaux de dépose phase 4</t>
  </si>
  <si>
    <t>Travaux de dépose phase 5</t>
  </si>
  <si>
    <t>IV.2</t>
  </si>
  <si>
    <t>IV.5</t>
  </si>
  <si>
    <t>Radiateur existant déposé et reposé</t>
  </si>
  <si>
    <t>IV.6</t>
  </si>
  <si>
    <t>Réseaux de chauffage</t>
  </si>
  <si>
    <t>Vanne d'isolement 1/4 de tour DN 15</t>
  </si>
  <si>
    <t>Vanne d'isolement 1/4 de tour DN 20</t>
  </si>
  <si>
    <t>Vanne d'isolement 1/4 de tour DN 25</t>
  </si>
  <si>
    <t>Vanne d'équilibrage DN 25</t>
  </si>
  <si>
    <t>Réseaux d'eau glacée</t>
  </si>
  <si>
    <t>Tube acier noir 88,9 x 3,2</t>
  </si>
  <si>
    <t>Vanne d'isolement 1/4 de tour DN 32</t>
  </si>
  <si>
    <t>Vanne d'isolement 1/4 de tour DN 40</t>
  </si>
  <si>
    <t>Vanne d'isolement 1/4 de tour DN 50</t>
  </si>
  <si>
    <t>Vanne d'isolement 1/4 de tour DN 65</t>
  </si>
  <si>
    <t>IV.7</t>
  </si>
  <si>
    <t>Remplacement des filtres F7 par de filtre F9</t>
  </si>
  <si>
    <t>Conduit de ventilation circulaire Ø 450</t>
  </si>
  <si>
    <t>Conduit de ventilation circulaire Ø 500</t>
  </si>
  <si>
    <t>IV.8</t>
  </si>
  <si>
    <t>Régulation du recycleur de la salle ISO7</t>
  </si>
  <si>
    <t>V.1</t>
  </si>
  <si>
    <t>Désenfumage de la circulation de l'UHCD</t>
  </si>
  <si>
    <t>V.2</t>
  </si>
  <si>
    <t>Désenfumage de la galerie</t>
  </si>
  <si>
    <t>V.3</t>
  </si>
  <si>
    <t>Désenfumage de la circulation des urgences filière longue</t>
  </si>
  <si>
    <t>V.4</t>
  </si>
  <si>
    <t>Désenfumage de la circulation nord des urgences</t>
  </si>
  <si>
    <t>V.10</t>
  </si>
  <si>
    <t>VARiANTE</t>
  </si>
  <si>
    <t>Moins-value pour la suppression de la finition PVC sur les coquilles de PU sur les canalisations acier DN 25 à DN80</t>
  </si>
  <si>
    <t>Moins-value pour la suppression du caisson acopustique sur les tourelles de désenfumage</t>
  </si>
  <si>
    <t>Moins-value pour le mplacement des coquilles de PU par des manchons élastomères ép. 19 mm sur les tuyauteries DN d'eau glacée</t>
  </si>
  <si>
    <t>I.3</t>
  </si>
  <si>
    <t>Essais - Contrôles</t>
  </si>
  <si>
    <t>Compris</t>
  </si>
  <si>
    <t>I.5</t>
  </si>
  <si>
    <t>Piquage sur  réseau existant Oxygène avec coupure</t>
  </si>
  <si>
    <t>Piquage sur  réseau existant Air Médical avec coupure</t>
  </si>
  <si>
    <t>Piquage sur  réseau existant Vide Médical avec coupure</t>
  </si>
  <si>
    <t>Tube cuivre de distribution primaire Oxygène</t>
  </si>
  <si>
    <t>Tube cuivre de distribution primaire Air médical</t>
  </si>
  <si>
    <t>Tube cuivre de distribution primaire Vide</t>
  </si>
  <si>
    <t>Détendeur de 2ème détente Oxygène</t>
  </si>
  <si>
    <t>Détendeur de 2ème détente Air Médical</t>
  </si>
  <si>
    <t>Boîtier de coupure Vide médical</t>
  </si>
  <si>
    <t>Tube cuivre de distribution secondaire Oxygène</t>
  </si>
  <si>
    <t>Tube cuivre de distribution secondaire Air médical</t>
  </si>
  <si>
    <t>Tube cuivre de distribution secondaire Vide</t>
  </si>
  <si>
    <t>Vanne de service Oxygène</t>
  </si>
  <si>
    <t>Vanne de service Air Médical</t>
  </si>
  <si>
    <t>Vanne de service Vide médical</t>
  </si>
  <si>
    <t>Prise Oxygène</t>
  </si>
  <si>
    <t>Prise Air Médical</t>
  </si>
  <si>
    <t>Prise Vide Médical</t>
  </si>
  <si>
    <t>Dépose des installations existantes</t>
  </si>
  <si>
    <t>I.16</t>
  </si>
  <si>
    <t>Dévoiement de colonnes et chutes</t>
  </si>
  <si>
    <t>IV.3</t>
  </si>
  <si>
    <t>Appareils sanitaires</t>
  </si>
  <si>
    <t>EV4 (déplacement évier)</t>
  </si>
  <si>
    <t>D1 douche de sécurité murale</t>
  </si>
  <si>
    <t>D2 douchette</t>
  </si>
  <si>
    <t>D4</t>
  </si>
  <si>
    <t>A1 (EF)</t>
  </si>
  <si>
    <t>A2 (EF ECS EU)</t>
  </si>
  <si>
    <t>A3 (EF EU)</t>
  </si>
  <si>
    <t>V1 Vidoir</t>
  </si>
  <si>
    <t>Accessoires</t>
  </si>
  <si>
    <t>IV.4</t>
  </si>
  <si>
    <r>
      <t xml:space="preserve">Tube cuivre écroui </t>
    </r>
    <r>
      <rPr>
        <sz val="10"/>
        <rFont val="Aptos Narrow"/>
        <family val="2"/>
      </rPr>
      <t>Ø18</t>
    </r>
    <r>
      <rPr>
        <sz val="10"/>
        <rFont val="Calibri"/>
        <family val="2"/>
      </rPr>
      <t xml:space="preserve"> x 1</t>
    </r>
  </si>
  <si>
    <t xml:space="preserve">Correction </t>
  </si>
  <si>
    <t>REMISE</t>
  </si>
  <si>
    <t>LOT 11 - Sol souples</t>
  </si>
  <si>
    <t>Plan de paillasse humide</t>
  </si>
  <si>
    <t>CFO</t>
  </si>
  <si>
    <t>CFA</t>
  </si>
  <si>
    <t>Mise en service, essais, mise à jour DOE</t>
  </si>
  <si>
    <r>
      <t>TRAVAUX DE DEPOSE</t>
    </r>
    <r>
      <rPr>
        <b/>
        <i/>
        <sz val="10"/>
        <rFont val="Calibri"/>
        <family val="2"/>
      </rPr>
      <t xml:space="preserve"> (dans Article III CFO)</t>
    </r>
  </si>
  <si>
    <t>Travaux de dépose équipements CFO et CFA selon plans de phasage</t>
  </si>
  <si>
    <t>Repérage / Suivi phasage / maintien en activité du site</t>
  </si>
  <si>
    <t>TOTAL TRAVAUX DE DEPOSE</t>
  </si>
  <si>
    <t>Dépose des équipements existant</t>
  </si>
  <si>
    <t>Chemins de câbles et liaisons existante</t>
  </si>
  <si>
    <t xml:space="preserve">Apparaillages terminaux (Détecteur optique de fumée, Déclencheur manuel,Indicateur d'action,diffuseur d'alarme sonore, contrôle d'accès, prise RJ45, câbles et autres équipement…) </t>
  </si>
  <si>
    <t>Conservation des bornes WIFI et DECT</t>
  </si>
  <si>
    <t>CHEMINS DE CÂBLES CFA</t>
  </si>
  <si>
    <t>VDI</t>
  </si>
  <si>
    <r>
      <t xml:space="preserve">Tirage d'une liaison FO depuis Répartiteur
</t>
    </r>
    <r>
      <rPr>
        <sz val="10"/>
        <color rgb="FF0070C0"/>
        <rFont val="Calibri"/>
        <family val="2"/>
      </rPr>
      <t>FO 12 brins compris raccordement</t>
    </r>
  </si>
  <si>
    <t>Fourniture et pose des nouveaux points de connexion VDI jusqu'au local informatique</t>
  </si>
  <si>
    <r>
      <t xml:space="preserve">Coffret VDI
</t>
    </r>
    <r>
      <rPr>
        <sz val="10"/>
        <color rgb="FF0070C0"/>
        <rFont val="Calibri"/>
        <family val="2"/>
      </rPr>
      <t>Baie 42U 19''</t>
    </r>
  </si>
  <si>
    <t>Test Téléphone urbain (PCS)</t>
  </si>
  <si>
    <t xml:space="preserve">Prises RJ45 y compris liaison </t>
  </si>
  <si>
    <r>
      <t xml:space="preserve">PDT 01
</t>
    </r>
    <r>
      <rPr>
        <sz val="10"/>
        <color rgb="FF0070C0"/>
        <rFont val="Calibri"/>
        <family val="2"/>
      </rPr>
      <t>73 PDT01 x2RJ = 146 RJ</t>
    </r>
  </si>
  <si>
    <r>
      <rPr>
        <sz val="10"/>
        <color rgb="FFFF0000"/>
        <rFont val="Calibri"/>
        <family val="2"/>
      </rPr>
      <t>PDT 02</t>
    </r>
    <r>
      <rPr>
        <sz val="10"/>
        <rFont val="Calibri"/>
        <family val="2"/>
      </rPr>
      <t xml:space="preserve">
</t>
    </r>
    <r>
      <rPr>
        <sz val="10"/>
        <color rgb="FF0070C0"/>
        <rFont val="Calibri"/>
        <family val="2"/>
      </rPr>
      <t xml:space="preserve"> 12 PDT02 x4RJ = 48 RJ</t>
    </r>
  </si>
  <si>
    <r>
      <t xml:space="preserve">PDT 03
</t>
    </r>
    <r>
      <rPr>
        <sz val="10"/>
        <color rgb="FF0070C0"/>
        <rFont val="Calibri"/>
        <family val="2"/>
      </rPr>
      <t>7 PDT03 x5RJ = 35RJ</t>
    </r>
  </si>
  <si>
    <t xml:space="preserve">Prises HDMI y compris liaison </t>
  </si>
  <si>
    <r>
      <t xml:space="preserve">Recette des installations
</t>
    </r>
    <r>
      <rPr>
        <sz val="10"/>
        <color rgb="FF0070C0"/>
        <rFont val="Calibri"/>
        <family val="2"/>
      </rPr>
      <t>prix à la RJ</t>
    </r>
  </si>
  <si>
    <t>Repérage / essais / inventaire</t>
  </si>
  <si>
    <r>
      <t xml:space="preserve">Fourniture de cordons de brassage avec une réserve de 10%
</t>
    </r>
    <r>
      <rPr>
        <sz val="10"/>
        <color rgb="FF0070C0"/>
        <rFont val="Calibri"/>
        <family val="2"/>
      </rPr>
      <t>327 RJ x10%=360</t>
    </r>
  </si>
  <si>
    <t>TOTAL VDI</t>
  </si>
  <si>
    <t>APPEL MALADE</t>
  </si>
  <si>
    <t>Equipements Serveurs</t>
  </si>
  <si>
    <t>Serveur Appel malade</t>
  </si>
  <si>
    <t xml:space="preserve">Switch </t>
  </si>
  <si>
    <t>Paramétrage Switche et IPBX du site</t>
  </si>
  <si>
    <t>Equipements Centraux</t>
  </si>
  <si>
    <r>
      <t xml:space="preserve">Centrale 
</t>
    </r>
    <r>
      <rPr>
        <sz val="10"/>
        <color rgb="FF0070C0"/>
        <rFont val="Calibri"/>
        <family val="2"/>
      </rPr>
      <t>avec paserelle TCP/Ip et les licences</t>
    </r>
  </si>
  <si>
    <t>Afficheur centrale</t>
  </si>
  <si>
    <t>Tableau de Report</t>
  </si>
  <si>
    <t>Equipements Chambre</t>
  </si>
  <si>
    <t>Poire Appel Malade avec commande éclairage et veilleuse</t>
  </si>
  <si>
    <t>Voyant d'appel en couloir de chambre /sanitaires</t>
  </si>
  <si>
    <r>
      <t xml:space="preserve">Boitier d'aquittement chambre/sanitaires
</t>
    </r>
    <r>
      <rPr>
        <sz val="10"/>
        <color rgb="FF0070C0"/>
        <rFont val="Calibri"/>
        <family val="2"/>
      </rPr>
      <t>sans phonie</t>
    </r>
  </si>
  <si>
    <t>Tirette Sdb / Sanitaires</t>
  </si>
  <si>
    <t>Report GTC</t>
  </si>
  <si>
    <r>
      <t xml:space="preserve">Recette / mise en service
</t>
    </r>
    <r>
      <rPr>
        <sz val="10"/>
        <color rgb="FF0070C0"/>
        <rFont val="Calibri"/>
        <family val="2"/>
      </rPr>
      <t>yc mise à jour supervision Mediagraph</t>
    </r>
  </si>
  <si>
    <t>TOTAL APPEL MALADE</t>
  </si>
  <si>
    <t>IX</t>
  </si>
  <si>
    <t>TV</t>
  </si>
  <si>
    <r>
      <t xml:space="preserve">Prise RJ45 
</t>
    </r>
    <r>
      <rPr>
        <sz val="10"/>
        <color rgb="FF0070C0"/>
        <rFont val="Calibri"/>
        <family val="2"/>
      </rPr>
      <t>compris dans la partie VDI</t>
    </r>
  </si>
  <si>
    <t>PC (TV)</t>
  </si>
  <si>
    <t>TOTAL TV</t>
  </si>
  <si>
    <t>X</t>
  </si>
  <si>
    <t>DISTRIBUTION HORAIRE</t>
  </si>
  <si>
    <t>Horloge réceptrice</t>
  </si>
  <si>
    <t>Configuration et synchronisation avec la centrale horaire existante</t>
  </si>
  <si>
    <t>TOTAL DISTRIBUTION HORAIRE</t>
  </si>
  <si>
    <t>LOT 14B - Sureté</t>
  </si>
  <si>
    <t>LOT 14A - CFO - CFA</t>
  </si>
  <si>
    <t>ESTIMATION DES ECHANCES DE FACTURATION - PHASE EXE</t>
  </si>
  <si>
    <t>IND 00 du 10/06/2025</t>
  </si>
  <si>
    <r>
      <t xml:space="preserve">TOTAL à Valeur Avril 2025
</t>
    </r>
    <r>
      <rPr>
        <sz val="11"/>
        <color theme="1"/>
        <rFont val="Calibri"/>
        <family val="2"/>
        <scheme val="minor"/>
      </rPr>
      <t xml:space="preserve">(Dernier BT01 connu - Mars : 132,5) </t>
    </r>
  </si>
  <si>
    <t>Récapitulatif des montants des M.B.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</si>
</sst>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_-* #,##0.0_-;\-* #,##0.0_-;_-* &quot;-&quot;??_-;_-@_-"/>
    <numFmt numFmtId="166" formatCode="_-* #,##0.00\ [$€-1]_-;\-* #,##0.00\ [$€-1]_-;_-* &quot;-&quot;??\ [$€-1]_-"/>
    <numFmt numFmtId="167" formatCode="_-* #,##0.00\ [$€-40C]_-;\-* #,##0.00\ [$€-40C]_-;_-* &quot;-&quot;??\ [$€-40C]_-;_-@_-"/>
    <numFmt numFmtId="168" formatCode="0.0"/>
    <numFmt numFmtId="169" formatCode="_-* #,##0_-;\-* #,##0_-;_-* &quot;-&quot;??_-;_-@_-"/>
    <numFmt numFmtId="170" formatCode="_-* #,##0.00\ _F_-;\-* #,##0.00\ _F_-;_-* &quot;-&quot;??\ _F_-;_-@_-"/>
    <numFmt numFmtId="171" formatCode="0.0%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Calibri"/>
      <family val="2"/>
    </font>
    <font>
      <sz val="11"/>
      <color theme="1"/>
      <name val="Calibri"/>
      <family val="2"/>
    </font>
    <font>
      <u/>
      <sz val="11"/>
      <color theme="1"/>
      <name val="Calibri"/>
      <family val="2"/>
    </font>
    <font>
      <sz val="10"/>
      <name val="Calibri"/>
      <family val="2"/>
    </font>
    <font>
      <sz val="9"/>
      <name val="Calibri"/>
      <family val="2"/>
    </font>
    <font>
      <sz val="10"/>
      <name val="Arial"/>
      <family val="2"/>
    </font>
    <font>
      <u/>
      <sz val="12"/>
      <color indexed="12"/>
      <name val="Tms Rmn"/>
    </font>
    <font>
      <b/>
      <sz val="11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1"/>
      <color theme="1"/>
      <name val="Calibri"/>
      <family val="2"/>
      <scheme val="minor"/>
    </font>
    <font>
      <b/>
      <sz val="9"/>
      <color rgb="FFFFFFFF"/>
      <name val="Calibri"/>
      <family val="2"/>
    </font>
    <font>
      <u/>
      <sz val="11"/>
      <color theme="10"/>
      <name val="Calibri"/>
      <family val="2"/>
      <scheme val="minor"/>
    </font>
    <font>
      <b/>
      <sz val="28"/>
      <name val="Calibri"/>
      <family val="2"/>
    </font>
    <font>
      <b/>
      <sz val="28"/>
      <color theme="1"/>
      <name val="Calibri"/>
      <family val="2"/>
    </font>
    <font>
      <b/>
      <sz val="11"/>
      <color theme="1"/>
      <name val="Calibri"/>
      <family val="2"/>
    </font>
    <font>
      <b/>
      <sz val="16"/>
      <color theme="1"/>
      <name val="Calibri"/>
      <family val="2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</font>
    <font>
      <b/>
      <sz val="10"/>
      <name val="Calibri"/>
      <family val="2"/>
    </font>
    <font>
      <sz val="10"/>
      <color theme="0"/>
      <name val="Calibri"/>
      <family val="2"/>
    </font>
    <font>
      <b/>
      <sz val="24"/>
      <name val="Calibri"/>
      <family val="2"/>
    </font>
    <font>
      <b/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u/>
      <sz val="10"/>
      <name val="Calibri"/>
      <family val="2"/>
    </font>
    <font>
      <b/>
      <u/>
      <sz val="10"/>
      <name val="Calibri"/>
      <family val="2"/>
    </font>
    <font>
      <sz val="10"/>
      <color rgb="FFFFFFFF"/>
      <name val="Calibri"/>
      <family val="2"/>
    </font>
    <font>
      <sz val="11"/>
      <name val="Calibri"/>
      <family val="2"/>
      <scheme val="minor"/>
    </font>
    <font>
      <sz val="10"/>
      <name val="Aptos Narrow"/>
      <family val="2"/>
    </font>
    <font>
      <i/>
      <sz val="10"/>
      <name val="Calibri"/>
      <family val="2"/>
    </font>
    <font>
      <sz val="10"/>
      <color rgb="FF000000"/>
      <name val="Times New Roman"/>
      <family val="1"/>
    </font>
    <font>
      <b/>
      <sz val="20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11"/>
      <color rgb="FFFF0000"/>
      <name val="Calibri"/>
      <family val="2"/>
    </font>
    <font>
      <sz val="8.5"/>
      <name val="Calibri"/>
      <family val="2"/>
    </font>
    <font>
      <vertAlign val="superscript"/>
      <sz val="10"/>
      <name val="Calibri"/>
      <family val="2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</font>
    <font>
      <b/>
      <sz val="10"/>
      <color rgb="FFFF0000"/>
      <name val="Calibri"/>
      <family val="2"/>
    </font>
    <font>
      <sz val="10"/>
      <color rgb="FF0070C0"/>
      <name val="Calibri"/>
      <family val="2"/>
    </font>
    <font>
      <i/>
      <sz val="10"/>
      <color rgb="FF0070C0"/>
      <name val="Calibri"/>
      <family val="2"/>
    </font>
    <font>
      <b/>
      <sz val="10"/>
      <color theme="0"/>
      <name val="Calibri"/>
      <family val="2"/>
    </font>
    <font>
      <b/>
      <i/>
      <sz val="10"/>
      <name val="Calibri"/>
      <family val="2"/>
    </font>
  </fonts>
  <fills count="43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E2CFF1"/>
        <bgColor indexed="64"/>
      </patternFill>
    </fill>
    <fill>
      <patternFill patternType="solid">
        <fgColor rgb="FFFFDDDD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8EC892"/>
        <bgColor indexed="64"/>
      </patternFill>
    </fill>
    <fill>
      <patternFill patternType="solid">
        <fgColor rgb="FFB1D9B4"/>
        <bgColor indexed="64"/>
      </patternFill>
    </fill>
    <fill>
      <patternFill patternType="solid">
        <fgColor rgb="FFC9E5CB"/>
        <bgColor indexed="64"/>
      </patternFill>
    </fill>
    <fill>
      <patternFill patternType="solid">
        <fgColor rgb="FFD8ECD9"/>
        <bgColor indexed="64"/>
      </patternFill>
    </fill>
    <fill>
      <patternFill patternType="solid">
        <fgColor rgb="FFE8F4E9"/>
        <bgColor indexed="64"/>
      </patternFill>
    </fill>
    <fill>
      <patternFill patternType="solid">
        <fgColor rgb="FFA3B7A7"/>
        <bgColor indexed="64"/>
      </patternFill>
    </fill>
    <fill>
      <patternFill patternType="solid">
        <fgColor rgb="FFB09696"/>
        <bgColor indexed="64"/>
      </patternFill>
    </fill>
    <fill>
      <patternFill patternType="solid">
        <fgColor rgb="FFD9B7F7"/>
        <bgColor indexed="64"/>
      </patternFill>
    </fill>
    <fill>
      <patternFill patternType="solid">
        <fgColor rgb="FFE9D6FA"/>
        <bgColor indexed="64"/>
      </patternFill>
    </fill>
    <fill>
      <patternFill patternType="solid">
        <fgColor rgb="FFB7ABC1"/>
        <bgColor indexed="64"/>
      </patternFill>
    </fill>
    <fill>
      <patternFill patternType="solid">
        <fgColor rgb="FFB675E7"/>
        <bgColor indexed="64"/>
      </patternFill>
    </fill>
    <fill>
      <patternFill patternType="solid">
        <fgColor rgb="FFEEDAE8"/>
        <bgColor indexed="64"/>
      </patternFill>
    </fill>
    <fill>
      <patternFill patternType="solid">
        <fgColor rgb="FFE6C8DD"/>
        <bgColor indexed="64"/>
      </patternFill>
    </fill>
    <fill>
      <patternFill patternType="solid">
        <fgColor rgb="FFDDB5D1"/>
        <bgColor indexed="64"/>
      </patternFill>
    </fill>
    <fill>
      <patternFill patternType="solid">
        <fgColor rgb="FFD5A3C6"/>
        <bgColor indexed="64"/>
      </patternFill>
    </fill>
    <fill>
      <patternFill patternType="solid">
        <fgColor rgb="FFC787B3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thin">
        <color auto="1"/>
      </right>
      <top style="hair">
        <color theme="0" tint="-0.34998626667073579"/>
      </top>
      <bottom/>
      <diagonal/>
    </border>
    <border>
      <left style="medium">
        <color rgb="FF808080"/>
      </left>
      <right/>
      <top style="medium">
        <color rgb="FF808080"/>
      </top>
      <bottom/>
      <diagonal/>
    </border>
    <border>
      <left/>
      <right/>
      <top style="medium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/>
      <top/>
      <bottom/>
      <diagonal/>
    </border>
    <border>
      <left/>
      <right style="medium">
        <color rgb="FF808080"/>
      </right>
      <top/>
      <bottom/>
      <diagonal/>
    </border>
    <border>
      <left style="medium">
        <color rgb="FF808080"/>
      </left>
      <right/>
      <top/>
      <bottom style="medium">
        <color rgb="FF808080"/>
      </bottom>
      <diagonal/>
    </border>
    <border>
      <left/>
      <right/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/>
      <right/>
      <top style="medium">
        <color rgb="FF808080"/>
      </top>
      <bottom style="medium">
        <color rgb="FF808080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theme="0" tint="-0.34998626667073579"/>
      </top>
      <bottom/>
      <diagonal/>
    </border>
    <border>
      <left style="thin">
        <color indexed="64"/>
      </left>
      <right style="thin">
        <color auto="1"/>
      </right>
      <top style="hair">
        <color theme="0" tint="-0.34998626667073579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/>
      <right style="thin">
        <color indexed="64"/>
      </right>
      <top style="hair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/>
      <bottom/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/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 style="thin">
        <color auto="1"/>
      </right>
      <top style="hair">
        <color rgb="FFA6A6A6"/>
      </top>
      <bottom/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 style="thin">
        <color auto="1"/>
      </right>
      <top style="hair">
        <color theme="0" tint="-0.34998626667073579"/>
      </top>
      <bottom style="hair">
        <color theme="0" tint="-0.34998626667073579"/>
      </bottom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</borders>
  <cellStyleXfs count="17">
    <xf numFmtId="0" fontId="0" fillId="0" borderId="0"/>
    <xf numFmtId="44" fontId="1" fillId="0" borderId="0" applyFon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0" fontId="34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0" fillId="3" borderId="4" xfId="0" applyFill="1" applyBorder="1"/>
    <xf numFmtId="0" fontId="0" fillId="3" borderId="0" xfId="0" applyFill="1"/>
    <xf numFmtId="0" fontId="0" fillId="0" borderId="0" xfId="0" applyAlignment="1">
      <alignment vertical="center"/>
    </xf>
    <xf numFmtId="0" fontId="15" fillId="0" borderId="0" xfId="4"/>
    <xf numFmtId="0" fontId="0" fillId="3" borderId="9" xfId="0" applyFill="1" applyBorder="1"/>
    <xf numFmtId="0" fontId="3" fillId="3" borderId="9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horizontal="left" wrapText="1"/>
    </xf>
    <xf numFmtId="0" fontId="3" fillId="3" borderId="4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3" fillId="3" borderId="9" xfId="0" applyFont="1" applyFill="1" applyBorder="1" applyAlignment="1">
      <alignment wrapText="1"/>
    </xf>
    <xf numFmtId="0" fontId="5" fillId="3" borderId="20" xfId="2" applyFont="1" applyFill="1" applyBorder="1" applyAlignment="1">
      <alignment horizontal="right" vertical="center" wrapText="1"/>
    </xf>
    <xf numFmtId="0" fontId="4" fillId="0" borderId="19" xfId="0" applyFont="1" applyBorder="1" applyAlignment="1">
      <alignment horizontal="left"/>
    </xf>
    <xf numFmtId="0" fontId="4" fillId="0" borderId="19" xfId="0" applyFont="1" applyBorder="1" applyAlignment="1">
      <alignment horizontal="right"/>
    </xf>
    <xf numFmtId="0" fontId="21" fillId="0" borderId="0" xfId="0" applyFont="1"/>
    <xf numFmtId="0" fontId="6" fillId="2" borderId="16" xfId="0" applyFont="1" applyFill="1" applyBorder="1" applyAlignment="1">
      <alignment horizontal="center" vertical="center"/>
    </xf>
    <xf numFmtId="4" fontId="6" fillId="2" borderId="16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16" xfId="0" applyFont="1" applyBorder="1"/>
    <xf numFmtId="44" fontId="0" fillId="0" borderId="0" xfId="1" applyFont="1"/>
    <xf numFmtId="44" fontId="3" fillId="0" borderId="0" xfId="1" applyFont="1"/>
    <xf numFmtId="0" fontId="3" fillId="0" borderId="15" xfId="0" applyFont="1" applyBorder="1" applyAlignment="1">
      <alignment horizontal="left"/>
    </xf>
    <xf numFmtId="0" fontId="3" fillId="0" borderId="0" xfId="0" applyFont="1" applyAlignment="1">
      <alignment wrapText="1"/>
    </xf>
    <xf numFmtId="0" fontId="6" fillId="2" borderId="16" xfId="0" applyFont="1" applyFill="1" applyBorder="1" applyAlignment="1">
      <alignment horizontal="left" vertical="center" wrapText="1"/>
    </xf>
    <xf numFmtId="0" fontId="3" fillId="4" borderId="0" xfId="0" applyFont="1" applyFill="1"/>
    <xf numFmtId="0" fontId="22" fillId="3" borderId="1" xfId="2" applyFont="1" applyFill="1" applyBorder="1" applyAlignment="1">
      <alignment horizontal="left" vertical="center" wrapText="1"/>
    </xf>
    <xf numFmtId="0" fontId="5" fillId="3" borderId="2" xfId="2" applyFont="1" applyFill="1" applyBorder="1" applyAlignment="1">
      <alignment horizontal="left" vertical="center" wrapText="1"/>
    </xf>
    <xf numFmtId="0" fontId="5" fillId="3" borderId="21" xfId="2" applyFont="1" applyFill="1" applyBorder="1" applyAlignment="1">
      <alignment horizontal="center" vertical="center" wrapText="1"/>
    </xf>
    <xf numFmtId="4" fontId="5" fillId="3" borderId="2" xfId="2" applyNumberFormat="1" applyFont="1" applyFill="1" applyBorder="1" applyAlignment="1">
      <alignment horizontal="center" vertical="center" wrapText="1"/>
    </xf>
    <xf numFmtId="0" fontId="5" fillId="3" borderId="1" xfId="2" applyFont="1" applyFill="1" applyBorder="1" applyAlignment="1">
      <alignment horizontal="left" vertical="center" wrapText="1"/>
    </xf>
    <xf numFmtId="166" fontId="5" fillId="3" borderId="2" xfId="2" applyNumberFormat="1" applyFont="1" applyFill="1" applyBorder="1" applyAlignment="1">
      <alignment horizontal="center" vertical="center" wrapText="1"/>
    </xf>
    <xf numFmtId="4" fontId="22" fillId="3" borderId="2" xfId="2" applyNumberFormat="1" applyFont="1" applyFill="1" applyBorder="1" applyAlignment="1">
      <alignment horizontal="center" vertical="center" wrapText="1"/>
    </xf>
    <xf numFmtId="166" fontId="22" fillId="3" borderId="2" xfId="2" applyNumberFormat="1" applyFont="1" applyFill="1" applyBorder="1" applyAlignment="1">
      <alignment horizontal="center" vertical="center" wrapText="1"/>
    </xf>
    <xf numFmtId="0" fontId="22" fillId="3" borderId="20" xfId="2" applyFont="1" applyFill="1" applyBorder="1" applyAlignment="1">
      <alignment horizontal="right" vertical="center" wrapText="1"/>
    </xf>
    <xf numFmtId="49" fontId="22" fillId="3" borderId="2" xfId="2" applyNumberFormat="1" applyFont="1" applyFill="1" applyBorder="1" applyAlignment="1">
      <alignment horizontal="left" vertical="center" wrapText="1"/>
    </xf>
    <xf numFmtId="1" fontId="5" fillId="3" borderId="21" xfId="2" applyNumberFormat="1" applyFont="1" applyFill="1" applyBorder="1" applyAlignment="1">
      <alignment horizontal="center" vertical="center" wrapText="1"/>
    </xf>
    <xf numFmtId="3" fontId="22" fillId="3" borderId="2" xfId="2" applyNumberFormat="1" applyFont="1" applyFill="1" applyBorder="1" applyAlignment="1">
      <alignment horizontal="left" vertical="center" wrapText="1"/>
    </xf>
    <xf numFmtId="0" fontId="5" fillId="0" borderId="21" xfId="2" applyFont="1" applyBorder="1" applyAlignment="1">
      <alignment horizontal="center" vertical="center" wrapText="1"/>
    </xf>
    <xf numFmtId="166" fontId="5" fillId="0" borderId="2" xfId="2" applyNumberFormat="1" applyFont="1" applyBorder="1" applyAlignment="1">
      <alignment horizontal="center" vertical="center" wrapText="1"/>
    </xf>
    <xf numFmtId="49" fontId="10" fillId="0" borderId="22" xfId="2" applyNumberFormat="1" applyFont="1" applyBorder="1" applyAlignment="1">
      <alignment horizontal="center" vertical="center" wrapText="1"/>
    </xf>
    <xf numFmtId="49" fontId="10" fillId="0" borderId="22" xfId="2" applyNumberFormat="1" applyFont="1" applyBorder="1" applyAlignment="1">
      <alignment vertical="center" wrapText="1"/>
    </xf>
    <xf numFmtId="165" fontId="10" fillId="0" borderId="22" xfId="2" applyNumberFormat="1" applyFont="1" applyBorder="1" applyAlignment="1">
      <alignment horizontal="center" vertical="center" wrapText="1"/>
    </xf>
    <xf numFmtId="44" fontId="10" fillId="0" borderId="22" xfId="1" applyFont="1" applyFill="1" applyBorder="1" applyAlignment="1">
      <alignment horizontal="center" vertical="center" wrapText="1"/>
    </xf>
    <xf numFmtId="0" fontId="0" fillId="0" borderId="28" xfId="0" applyBorder="1" applyAlignment="1">
      <alignment vertical="center"/>
    </xf>
    <xf numFmtId="0" fontId="10" fillId="0" borderId="28" xfId="3" applyFont="1" applyFill="1" applyBorder="1" applyAlignment="1" applyProtection="1">
      <alignment horizontal="center" vertical="top" wrapText="1"/>
    </xf>
    <xf numFmtId="165" fontId="10" fillId="0" borderId="28" xfId="5" applyNumberFormat="1" applyFont="1" applyFill="1" applyBorder="1" applyAlignment="1" applyProtection="1">
      <alignment vertical="top" wrapText="1"/>
    </xf>
    <xf numFmtId="44" fontId="10" fillId="0" borderId="28" xfId="1" applyFont="1" applyFill="1" applyBorder="1" applyAlignment="1" applyProtection="1">
      <alignment horizontal="center" vertical="top" wrapText="1"/>
    </xf>
    <xf numFmtId="0" fontId="3" fillId="0" borderId="23" xfId="0" applyFont="1" applyBorder="1"/>
    <xf numFmtId="165" fontId="10" fillId="0" borderId="27" xfId="5" applyNumberFormat="1" applyFont="1" applyFill="1" applyBorder="1" applyAlignment="1" applyProtection="1">
      <alignment horizontal="center" vertical="top" wrapText="1"/>
    </xf>
    <xf numFmtId="0" fontId="10" fillId="0" borderId="27" xfId="3" applyFont="1" applyFill="1" applyBorder="1" applyAlignment="1" applyProtection="1">
      <alignment horizontal="center" vertical="top" wrapText="1"/>
    </xf>
    <xf numFmtId="49" fontId="9" fillId="0" borderId="2" xfId="2" applyNumberFormat="1" applyFont="1" applyBorder="1" applyAlignment="1">
      <alignment horizontal="center" vertical="center" wrapText="1"/>
    </xf>
    <xf numFmtId="49" fontId="9" fillId="0" borderId="2" xfId="2" applyNumberFormat="1" applyFont="1" applyBorder="1" applyAlignment="1">
      <alignment vertical="center" wrapText="1"/>
    </xf>
    <xf numFmtId="165" fontId="9" fillId="0" borderId="2" xfId="2" applyNumberFormat="1" applyFont="1" applyBorder="1" applyAlignment="1">
      <alignment horizontal="center" vertical="center" wrapText="1"/>
    </xf>
    <xf numFmtId="44" fontId="9" fillId="0" borderId="2" xfId="1" applyFont="1" applyFill="1" applyBorder="1" applyAlignment="1">
      <alignment horizontal="center" vertical="center" wrapText="1"/>
    </xf>
    <xf numFmtId="0" fontId="18" fillId="0" borderId="0" xfId="0" applyFont="1"/>
    <xf numFmtId="0" fontId="11" fillId="2" borderId="17" xfId="0" applyFont="1" applyFill="1" applyBorder="1" applyAlignment="1">
      <alignment horizontal="center" vertical="center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5" fillId="3" borderId="19" xfId="2" applyFont="1" applyFill="1" applyBorder="1" applyAlignment="1">
      <alignment horizontal="right" vertical="center" wrapText="1"/>
    </xf>
    <xf numFmtId="0" fontId="22" fillId="4" borderId="0" xfId="2" applyFont="1" applyFill="1" applyAlignment="1">
      <alignment horizontal="left" vertical="center" wrapText="1"/>
    </xf>
    <xf numFmtId="49" fontId="22" fillId="4" borderId="15" xfId="2" applyNumberFormat="1" applyFont="1" applyFill="1" applyBorder="1" applyAlignment="1">
      <alignment horizontal="left" vertical="center" wrapText="1"/>
    </xf>
    <xf numFmtId="49" fontId="5" fillId="4" borderId="15" xfId="2" applyNumberFormat="1" applyFont="1" applyFill="1" applyBorder="1" applyAlignment="1">
      <alignment horizontal="center" vertical="center" wrapText="1"/>
    </xf>
    <xf numFmtId="1" fontId="5" fillId="4" borderId="29" xfId="2" applyNumberFormat="1" applyFont="1" applyFill="1" applyBorder="1" applyAlignment="1">
      <alignment horizontal="center" vertical="center" wrapText="1"/>
    </xf>
    <xf numFmtId="166" fontId="5" fillId="4" borderId="15" xfId="2" applyNumberFormat="1" applyFont="1" applyFill="1" applyBorder="1" applyAlignment="1">
      <alignment horizontal="center" vertical="center" wrapText="1"/>
    </xf>
    <xf numFmtId="0" fontId="5" fillId="3" borderId="2" xfId="2" applyFont="1" applyFill="1" applyBorder="1" applyAlignment="1">
      <alignment horizontal="center" vertical="center" wrapText="1"/>
    </xf>
    <xf numFmtId="49" fontId="23" fillId="0" borderId="2" xfId="2" applyNumberFormat="1" applyFont="1" applyBorder="1" applyAlignment="1">
      <alignment horizontal="center" vertical="center" wrapText="1"/>
    </xf>
    <xf numFmtId="49" fontId="5" fillId="3" borderId="2" xfId="2" applyNumberFormat="1" applyFont="1" applyFill="1" applyBorder="1" applyAlignment="1">
      <alignment horizontal="center" vertical="center" wrapText="1"/>
    </xf>
    <xf numFmtId="49" fontId="10" fillId="0" borderId="17" xfId="2" applyNumberFormat="1" applyFont="1" applyBorder="1" applyAlignment="1">
      <alignment horizontal="center" vertical="center" wrapText="1"/>
    </xf>
    <xf numFmtId="49" fontId="9" fillId="0" borderId="19" xfId="2" applyNumberFormat="1" applyFont="1" applyBorder="1" applyAlignment="1">
      <alignment horizontal="center" vertical="center" wrapText="1"/>
    </xf>
    <xf numFmtId="49" fontId="9" fillId="0" borderId="15" xfId="2" applyNumberFormat="1" applyFont="1" applyBorder="1" applyAlignment="1">
      <alignment horizontal="center" vertical="center" wrapText="1"/>
    </xf>
    <xf numFmtId="0" fontId="5" fillId="0" borderId="30" xfId="2" applyFont="1" applyBorder="1" applyAlignment="1">
      <alignment horizontal="right" vertical="center" wrapText="1"/>
    </xf>
    <xf numFmtId="0" fontId="10" fillId="0" borderId="31" xfId="0" applyFont="1" applyBorder="1" applyAlignment="1">
      <alignment horizontal="left" vertical="top" wrapText="1"/>
    </xf>
    <xf numFmtId="0" fontId="0" fillId="3" borderId="9" xfId="0" applyFill="1" applyBorder="1" applyAlignment="1">
      <alignment horizontal="left"/>
    </xf>
    <xf numFmtId="0" fontId="12" fillId="7" borderId="17" xfId="0" applyFont="1" applyFill="1" applyBorder="1" applyAlignment="1">
      <alignment horizontal="center" vertical="center" wrapText="1"/>
    </xf>
    <xf numFmtId="0" fontId="12" fillId="7" borderId="18" xfId="0" applyFont="1" applyFill="1" applyBorder="1" applyAlignment="1">
      <alignment horizontal="center" vertical="center" wrapText="1"/>
    </xf>
    <xf numFmtId="0" fontId="12" fillId="7" borderId="22" xfId="0" applyFont="1" applyFill="1" applyBorder="1" applyAlignment="1">
      <alignment horizontal="center" vertical="center" wrapText="1"/>
    </xf>
    <xf numFmtId="4" fontId="6" fillId="7" borderId="16" xfId="0" applyNumberFormat="1" applyFont="1" applyFill="1" applyBorder="1" applyAlignment="1" applyProtection="1">
      <alignment horizontal="center" vertical="center" wrapText="1"/>
      <protection locked="0"/>
    </xf>
    <xf numFmtId="44" fontId="0" fillId="0" borderId="14" xfId="1" applyFont="1" applyBorder="1" applyAlignment="1">
      <alignment horizontal="left" vertical="center"/>
    </xf>
    <xf numFmtId="44" fontId="20" fillId="8" borderId="14" xfId="1" applyFont="1" applyFill="1" applyBorder="1" applyAlignment="1">
      <alignment horizontal="center" vertical="center"/>
    </xf>
    <xf numFmtId="44" fontId="0" fillId="9" borderId="14" xfId="1" applyFont="1" applyFill="1" applyBorder="1" applyAlignment="1">
      <alignment horizontal="left" vertical="center"/>
    </xf>
    <xf numFmtId="0" fontId="0" fillId="0" borderId="14" xfId="0" applyBorder="1" applyAlignment="1">
      <alignment wrapText="1"/>
    </xf>
    <xf numFmtId="0" fontId="0" fillId="0" borderId="0" xfId="0" applyAlignment="1">
      <alignment wrapText="1"/>
    </xf>
    <xf numFmtId="0" fontId="13" fillId="9" borderId="14" xfId="0" applyFont="1" applyFill="1" applyBorder="1" applyAlignment="1">
      <alignment horizontal="left" vertical="center" indent="1"/>
    </xf>
    <xf numFmtId="0" fontId="20" fillId="8" borderId="14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right" vertical="center" wrapText="1" indent="2"/>
    </xf>
    <xf numFmtId="49" fontId="23" fillId="0" borderId="15" xfId="2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44" fontId="13" fillId="0" borderId="14" xfId="1" applyFont="1" applyBorder="1" applyAlignment="1">
      <alignment horizontal="left" vertical="center"/>
    </xf>
    <xf numFmtId="44" fontId="13" fillId="0" borderId="14" xfId="1" applyFont="1" applyBorder="1"/>
    <xf numFmtId="44" fontId="13" fillId="6" borderId="14" xfId="1" applyFont="1" applyFill="1" applyBorder="1" applyAlignment="1">
      <alignment vertical="center"/>
    </xf>
    <xf numFmtId="44" fontId="13" fillId="8" borderId="14" xfId="1" applyFont="1" applyFill="1" applyBorder="1" applyAlignment="1">
      <alignment horizontal="center" vertical="center"/>
    </xf>
    <xf numFmtId="44" fontId="1" fillId="6" borderId="14" xfId="1" applyFont="1" applyFill="1" applyBorder="1" applyAlignment="1">
      <alignment vertical="center"/>
    </xf>
    <xf numFmtId="0" fontId="26" fillId="0" borderId="0" xfId="0" applyFont="1" applyAlignment="1">
      <alignment horizontal="center" vertical="center"/>
    </xf>
    <xf numFmtId="44" fontId="0" fillId="0" borderId="35" xfId="0" applyNumberFormat="1" applyBorder="1" applyAlignment="1">
      <alignment vertical="center"/>
    </xf>
    <xf numFmtId="0" fontId="0" fillId="0" borderId="35" xfId="0" applyBorder="1" applyAlignment="1">
      <alignment horizontal="center" vertical="center"/>
    </xf>
    <xf numFmtId="44" fontId="0" fillId="19" borderId="35" xfId="0" applyNumberFormat="1" applyFill="1" applyBorder="1" applyAlignment="1">
      <alignment vertical="center"/>
    </xf>
    <xf numFmtId="0" fontId="0" fillId="19" borderId="35" xfId="0" applyFill="1" applyBorder="1" applyAlignment="1">
      <alignment horizontal="center" vertical="center"/>
    </xf>
    <xf numFmtId="44" fontId="0" fillId="18" borderId="35" xfId="0" applyNumberFormat="1" applyFill="1" applyBorder="1" applyAlignment="1">
      <alignment vertical="center"/>
    </xf>
    <xf numFmtId="0" fontId="0" fillId="18" borderId="35" xfId="0" applyFill="1" applyBorder="1" applyAlignment="1">
      <alignment horizontal="center" vertical="center"/>
    </xf>
    <xf numFmtId="167" fontId="0" fillId="19" borderId="35" xfId="0" applyNumberFormat="1" applyFill="1" applyBorder="1" applyAlignment="1">
      <alignment horizontal="center" vertical="center"/>
    </xf>
    <xf numFmtId="167" fontId="0" fillId="0" borderId="35" xfId="0" applyNumberFormat="1" applyBorder="1" applyAlignment="1">
      <alignment horizontal="center" vertical="center"/>
    </xf>
    <xf numFmtId="167" fontId="0" fillId="19" borderId="35" xfId="1" applyNumberFormat="1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17" fontId="13" fillId="9" borderId="0" xfId="0" applyNumberFormat="1" applyFont="1" applyFill="1" applyAlignment="1">
      <alignment horizontal="center" vertical="center"/>
    </xf>
    <xf numFmtId="17" fontId="13" fillId="9" borderId="37" xfId="0" applyNumberFormat="1" applyFont="1" applyFill="1" applyBorder="1" applyAlignment="1">
      <alignment horizontal="center" vertical="center"/>
    </xf>
    <xf numFmtId="0" fontId="0" fillId="18" borderId="33" xfId="0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16" borderId="0" xfId="0" applyFill="1" applyAlignment="1">
      <alignment horizontal="center" vertical="center"/>
    </xf>
    <xf numFmtId="0" fontId="0" fillId="6" borderId="37" xfId="0" applyFill="1" applyBorder="1" applyAlignment="1">
      <alignment horizontal="center" vertical="center"/>
    </xf>
    <xf numFmtId="1" fontId="27" fillId="0" borderId="0" xfId="0" applyNumberFormat="1" applyFont="1" applyAlignment="1">
      <alignment horizontal="center" vertical="center"/>
    </xf>
    <xf numFmtId="1" fontId="27" fillId="0" borderId="37" xfId="0" applyNumberFormat="1" applyFont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8" fontId="0" fillId="0" borderId="37" xfId="0" applyNumberFormat="1" applyBorder="1" applyAlignment="1">
      <alignment horizontal="center" vertical="center"/>
    </xf>
    <xf numFmtId="0" fontId="0" fillId="19" borderId="33" xfId="0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67" fontId="0" fillId="19" borderId="33" xfId="0" applyNumberFormat="1" applyFill="1" applyBorder="1" applyAlignment="1">
      <alignment horizontal="center" vertical="center"/>
    </xf>
    <xf numFmtId="167" fontId="0" fillId="0" borderId="33" xfId="0" applyNumberFormat="1" applyBorder="1" applyAlignment="1">
      <alignment horizontal="center" vertical="center"/>
    </xf>
    <xf numFmtId="17" fontId="13" fillId="6" borderId="0" xfId="0" applyNumberFormat="1" applyFont="1" applyFill="1" applyAlignment="1">
      <alignment horizontal="center" vertical="center"/>
    </xf>
    <xf numFmtId="17" fontId="13" fillId="6" borderId="37" xfId="0" applyNumberFormat="1" applyFont="1" applyFill="1" applyBorder="1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0" fillId="7" borderId="37" xfId="0" applyFill="1" applyBorder="1" applyAlignment="1">
      <alignment horizontal="center" vertical="center"/>
    </xf>
    <xf numFmtId="167" fontId="0" fillId="19" borderId="33" xfId="1" applyNumberFormat="1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0" fillId="18" borderId="32" xfId="0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6" borderId="34" xfId="0" applyFill="1" applyBorder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17" borderId="0" xfId="0" applyFill="1" applyAlignment="1">
      <alignment horizontal="center" vertical="center"/>
    </xf>
    <xf numFmtId="0" fontId="0" fillId="15" borderId="37" xfId="0" applyFill="1" applyBorder="1" applyAlignment="1">
      <alignment horizontal="center" vertical="center"/>
    </xf>
    <xf numFmtId="1" fontId="27" fillId="0" borderId="34" xfId="0" applyNumberFormat="1" applyFont="1" applyBorder="1" applyAlignment="1">
      <alignment horizontal="center" vertical="center"/>
    </xf>
    <xf numFmtId="168" fontId="0" fillId="0" borderId="34" xfId="0" applyNumberFormat="1" applyBorder="1" applyAlignment="1">
      <alignment horizontal="center" vertical="center"/>
    </xf>
    <xf numFmtId="0" fontId="0" fillId="19" borderId="32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167" fontId="0" fillId="19" borderId="32" xfId="0" applyNumberFormat="1" applyFill="1" applyBorder="1" applyAlignment="1">
      <alignment horizontal="center" vertical="center"/>
    </xf>
    <xf numFmtId="167" fontId="0" fillId="0" borderId="32" xfId="0" applyNumberFormat="1" applyBorder="1" applyAlignment="1">
      <alignment horizontal="center" vertical="center"/>
    </xf>
    <xf numFmtId="0" fontId="0" fillId="12" borderId="36" xfId="0" applyFill="1" applyBorder="1"/>
    <xf numFmtId="0" fontId="13" fillId="11" borderId="35" xfId="0" applyFont="1" applyFill="1" applyBorder="1" applyAlignment="1">
      <alignment vertical="center"/>
    </xf>
    <xf numFmtId="167" fontId="13" fillId="11" borderId="35" xfId="0" applyNumberFormat="1" applyFont="1" applyFill="1" applyBorder="1" applyAlignment="1">
      <alignment vertical="center"/>
    </xf>
    <xf numFmtId="167" fontId="13" fillId="11" borderId="33" xfId="0" applyNumberFormat="1" applyFont="1" applyFill="1" applyBorder="1" applyAlignment="1">
      <alignment vertical="center"/>
    </xf>
    <xf numFmtId="167" fontId="13" fillId="11" borderId="32" xfId="0" applyNumberFormat="1" applyFont="1" applyFill="1" applyBorder="1" applyAlignment="1">
      <alignment vertical="center"/>
    </xf>
    <xf numFmtId="17" fontId="13" fillId="8" borderId="34" xfId="0" applyNumberFormat="1" applyFont="1" applyFill="1" applyBorder="1" applyAlignment="1">
      <alignment horizontal="center" vertical="center"/>
    </xf>
    <xf numFmtId="17" fontId="13" fillId="8" borderId="0" xfId="0" applyNumberFormat="1" applyFont="1" applyFill="1" applyAlignment="1">
      <alignment horizontal="center" vertical="center"/>
    </xf>
    <xf numFmtId="17" fontId="13" fillId="8" borderId="37" xfId="0" applyNumberFormat="1" applyFont="1" applyFill="1" applyBorder="1" applyAlignment="1">
      <alignment horizontal="center" vertical="center"/>
    </xf>
    <xf numFmtId="0" fontId="0" fillId="8" borderId="36" xfId="0" applyFill="1" applyBorder="1"/>
    <xf numFmtId="0" fontId="0" fillId="12" borderId="35" xfId="0" applyFill="1" applyBorder="1"/>
    <xf numFmtId="44" fontId="0" fillId="18" borderId="33" xfId="0" applyNumberFormat="1" applyFill="1" applyBorder="1" applyAlignment="1">
      <alignment vertical="center"/>
    </xf>
    <xf numFmtId="0" fontId="0" fillId="14" borderId="37" xfId="0" applyFill="1" applyBorder="1" applyAlignment="1">
      <alignment horizontal="center" vertical="center"/>
    </xf>
    <xf numFmtId="0" fontId="0" fillId="0" borderId="37" xfId="0" applyBorder="1" applyAlignment="1">
      <alignment vertical="center"/>
    </xf>
    <xf numFmtId="44" fontId="0" fillId="19" borderId="33" xfId="0" applyNumberFormat="1" applyFill="1" applyBorder="1" applyAlignment="1">
      <alignment vertical="center"/>
    </xf>
    <xf numFmtId="44" fontId="0" fillId="0" borderId="33" xfId="0" applyNumberFormat="1" applyBorder="1" applyAlignment="1">
      <alignment vertical="center"/>
    </xf>
    <xf numFmtId="0" fontId="13" fillId="11" borderId="33" xfId="0" applyFont="1" applyFill="1" applyBorder="1" applyAlignment="1">
      <alignment vertical="center"/>
    </xf>
    <xf numFmtId="0" fontId="0" fillId="12" borderId="38" xfId="0" applyFill="1" applyBorder="1"/>
    <xf numFmtId="0" fontId="0" fillId="12" borderId="33" xfId="0" applyFill="1" applyBorder="1"/>
    <xf numFmtId="1" fontId="5" fillId="20" borderId="15" xfId="2" applyNumberFormat="1" applyFont="1" applyFill="1" applyBorder="1" applyAlignment="1">
      <alignment horizontal="center" vertical="center" wrapText="1"/>
    </xf>
    <xf numFmtId="169" fontId="5" fillId="20" borderId="40" xfId="5" applyNumberFormat="1" applyFont="1" applyFill="1" applyBorder="1" applyAlignment="1">
      <alignment horizontal="center" vertical="center" wrapText="1"/>
    </xf>
    <xf numFmtId="1" fontId="5" fillId="20" borderId="40" xfId="2" applyNumberFormat="1" applyFont="1" applyFill="1" applyBorder="1" applyAlignment="1">
      <alignment horizontal="center" vertical="center" wrapText="1"/>
    </xf>
    <xf numFmtId="166" fontId="5" fillId="20" borderId="40" xfId="2" applyNumberFormat="1" applyFont="1" applyFill="1" applyBorder="1" applyAlignment="1">
      <alignment horizontal="center" vertical="center" wrapText="1"/>
    </xf>
    <xf numFmtId="0" fontId="5" fillId="20" borderId="40" xfId="2" applyFont="1" applyFill="1" applyBorder="1" applyAlignment="1">
      <alignment horizontal="center" vertical="center" wrapText="1"/>
    </xf>
    <xf numFmtId="166" fontId="22" fillId="20" borderId="40" xfId="2" applyNumberFormat="1" applyFont="1" applyFill="1" applyBorder="1" applyAlignment="1">
      <alignment horizontal="center" vertical="center" wrapText="1"/>
    </xf>
    <xf numFmtId="49" fontId="5" fillId="20" borderId="40" xfId="2" applyNumberFormat="1" applyFont="1" applyFill="1" applyBorder="1" applyAlignment="1">
      <alignment horizontal="center" vertical="center" wrapText="1"/>
    </xf>
    <xf numFmtId="49" fontId="22" fillId="20" borderId="40" xfId="2" applyNumberFormat="1" applyFont="1" applyFill="1" applyBorder="1" applyAlignment="1">
      <alignment horizontal="left" vertical="center" wrapText="1"/>
    </xf>
    <xf numFmtId="0" fontId="5" fillId="20" borderId="40" xfId="2" applyFont="1" applyFill="1" applyBorder="1" applyAlignment="1">
      <alignment horizontal="left" vertical="center" wrapText="1"/>
    </xf>
    <xf numFmtId="49" fontId="5" fillId="20" borderId="40" xfId="2" applyNumberFormat="1" applyFont="1" applyFill="1" applyBorder="1" applyAlignment="1">
      <alignment horizontal="left" vertical="center" wrapText="1"/>
    </xf>
    <xf numFmtId="0" fontId="5" fillId="20" borderId="40" xfId="2" applyFont="1" applyFill="1" applyBorder="1" applyAlignment="1">
      <alignment horizontal="left" vertical="center" wrapText="1" indent="1"/>
    </xf>
    <xf numFmtId="0" fontId="28" fillId="20" borderId="40" xfId="2" applyFont="1" applyFill="1" applyBorder="1" applyAlignment="1">
      <alignment horizontal="left" vertical="center" wrapText="1"/>
    </xf>
    <xf numFmtId="0" fontId="22" fillId="20" borderId="40" xfId="2" applyFont="1" applyFill="1" applyBorder="1" applyAlignment="1">
      <alignment horizontal="left" vertical="center" wrapText="1"/>
    </xf>
    <xf numFmtId="49" fontId="22" fillId="4" borderId="40" xfId="2" applyNumberFormat="1" applyFont="1" applyFill="1" applyBorder="1" applyAlignment="1">
      <alignment horizontal="left" vertical="center" wrapText="1"/>
    </xf>
    <xf numFmtId="49" fontId="5" fillId="21" borderId="40" xfId="2" applyNumberFormat="1" applyFont="1" applyFill="1" applyBorder="1" applyAlignment="1">
      <alignment horizontal="center" vertical="center" wrapText="1"/>
    </xf>
    <xf numFmtId="0" fontId="5" fillId="4" borderId="21" xfId="2" applyFont="1" applyFill="1" applyBorder="1" applyAlignment="1">
      <alignment horizontal="center" vertical="center" wrapText="1"/>
    </xf>
    <xf numFmtId="166" fontId="5" fillId="4" borderId="2" xfId="2" applyNumberFormat="1" applyFont="1" applyFill="1" applyBorder="1" applyAlignment="1">
      <alignment horizontal="center" vertical="center" wrapText="1"/>
    </xf>
    <xf numFmtId="0" fontId="5" fillId="4" borderId="2" xfId="2" applyFont="1" applyFill="1" applyBorder="1" applyAlignment="1">
      <alignment horizontal="center" vertical="center" wrapText="1"/>
    </xf>
    <xf numFmtId="169" fontId="5" fillId="21" borderId="40" xfId="5" applyNumberFormat="1" applyFont="1" applyFill="1" applyBorder="1" applyAlignment="1">
      <alignment horizontal="center" vertical="center" wrapText="1"/>
    </xf>
    <xf numFmtId="1" fontId="5" fillId="21" borderId="40" xfId="2" applyNumberFormat="1" applyFont="1" applyFill="1" applyBorder="1" applyAlignment="1">
      <alignment horizontal="center" vertical="center" wrapText="1"/>
    </xf>
    <xf numFmtId="166" fontId="5" fillId="21" borderId="40" xfId="2" applyNumberFormat="1" applyFont="1" applyFill="1" applyBorder="1" applyAlignment="1">
      <alignment horizontal="center" vertical="center" wrapText="1"/>
    </xf>
    <xf numFmtId="49" fontId="22" fillId="21" borderId="40" xfId="2" applyNumberFormat="1" applyFont="1" applyFill="1" applyBorder="1" applyAlignment="1">
      <alignment horizontal="left" vertical="center" wrapText="1"/>
    </xf>
    <xf numFmtId="44" fontId="22" fillId="20" borderId="40" xfId="1" applyFont="1" applyFill="1" applyBorder="1" applyAlignment="1">
      <alignment horizontal="left" vertical="center" wrapText="1"/>
    </xf>
    <xf numFmtId="169" fontId="12" fillId="2" borderId="17" xfId="5" applyNumberFormat="1" applyFont="1" applyFill="1" applyBorder="1" applyAlignment="1">
      <alignment horizontal="center" vertical="center" wrapText="1"/>
    </xf>
    <xf numFmtId="169" fontId="6" fillId="2" borderId="16" xfId="5" applyNumberFormat="1" applyFont="1" applyFill="1" applyBorder="1" applyAlignment="1" applyProtection="1">
      <alignment horizontal="center" vertical="center" wrapText="1"/>
      <protection locked="0"/>
    </xf>
    <xf numFmtId="169" fontId="5" fillId="3" borderId="21" xfId="5" applyNumberFormat="1" applyFont="1" applyFill="1" applyBorder="1" applyAlignment="1">
      <alignment horizontal="center" vertical="center" wrapText="1"/>
    </xf>
    <xf numFmtId="169" fontId="10" fillId="0" borderId="22" xfId="5" applyNumberFormat="1" applyFont="1" applyBorder="1" applyAlignment="1">
      <alignment horizontal="center" vertical="center" wrapText="1"/>
    </xf>
    <xf numFmtId="169" fontId="9" fillId="0" borderId="2" xfId="5" applyNumberFormat="1" applyFont="1" applyBorder="1" applyAlignment="1">
      <alignment horizontal="center" vertical="center" wrapText="1"/>
    </xf>
    <xf numFmtId="169" fontId="10" fillId="0" borderId="27" xfId="5" applyNumberFormat="1" applyFont="1" applyFill="1" applyBorder="1" applyAlignment="1" applyProtection="1">
      <alignment horizontal="center" vertical="top" wrapText="1"/>
    </xf>
    <xf numFmtId="169" fontId="3" fillId="0" borderId="0" xfId="5" applyNumberFormat="1" applyFont="1"/>
    <xf numFmtId="0" fontId="5" fillId="0" borderId="40" xfId="2" applyFont="1" applyBorder="1" applyAlignment="1">
      <alignment horizontal="left" vertical="center" wrapText="1"/>
    </xf>
    <xf numFmtId="0" fontId="22" fillId="0" borderId="40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left" vertical="center" wrapText="1"/>
    </xf>
    <xf numFmtId="44" fontId="0" fillId="0" borderId="14" xfId="0" applyNumberFormat="1" applyBorder="1" applyAlignment="1">
      <alignment horizontal="center" vertical="center"/>
    </xf>
    <xf numFmtId="0" fontId="0" fillId="11" borderId="14" xfId="0" applyFill="1" applyBorder="1" applyAlignment="1">
      <alignment horizontal="center" vertical="center"/>
    </xf>
    <xf numFmtId="44" fontId="0" fillId="0" borderId="0" xfId="0" applyNumberFormat="1"/>
    <xf numFmtId="0" fontId="33" fillId="3" borderId="2" xfId="2" applyFont="1" applyFill="1" applyBorder="1" applyAlignment="1">
      <alignment horizontal="left" vertical="center" wrapText="1" indent="1"/>
    </xf>
    <xf numFmtId="0" fontId="5" fillId="0" borderId="2" xfId="2" applyFont="1" applyBorder="1" applyAlignment="1">
      <alignment horizontal="center" vertical="center" wrapText="1"/>
    </xf>
    <xf numFmtId="3" fontId="22" fillId="0" borderId="2" xfId="2" applyNumberFormat="1" applyFont="1" applyBorder="1" applyAlignment="1">
      <alignment horizontal="left" vertical="center" wrapText="1"/>
    </xf>
    <xf numFmtId="0" fontId="13" fillId="11" borderId="14" xfId="0" applyFont="1" applyFill="1" applyBorder="1" applyAlignment="1">
      <alignment horizontal="right" vertical="center" wrapText="1" indent="2"/>
    </xf>
    <xf numFmtId="44" fontId="13" fillId="11" borderId="14" xfId="1" applyFont="1" applyFill="1" applyBorder="1" applyAlignment="1">
      <alignment vertical="center"/>
    </xf>
    <xf numFmtId="44" fontId="1" fillId="11" borderId="14" xfId="1" applyFont="1" applyFill="1" applyBorder="1" applyAlignment="1">
      <alignment vertical="center"/>
    </xf>
    <xf numFmtId="0" fontId="35" fillId="15" borderId="0" xfId="0" applyFont="1" applyFill="1" applyAlignment="1">
      <alignment vertical="center"/>
    </xf>
    <xf numFmtId="0" fontId="18" fillId="0" borderId="0" xfId="0" applyFont="1" applyAlignment="1">
      <alignment wrapText="1"/>
    </xf>
    <xf numFmtId="169" fontId="3" fillId="0" borderId="0" xfId="5" applyNumberFormat="1" applyFont="1" applyBorder="1" applyAlignment="1">
      <alignment horizontal="left"/>
    </xf>
    <xf numFmtId="44" fontId="13" fillId="22" borderId="14" xfId="1" applyFont="1" applyFill="1" applyBorder="1" applyAlignment="1">
      <alignment vertical="center"/>
    </xf>
    <xf numFmtId="0" fontId="13" fillId="22" borderId="14" xfId="0" applyFont="1" applyFill="1" applyBorder="1" applyAlignment="1">
      <alignment horizontal="right" vertical="center" wrapText="1" indent="2"/>
    </xf>
    <xf numFmtId="44" fontId="3" fillId="0" borderId="0" xfId="0" applyNumberFormat="1" applyFont="1"/>
    <xf numFmtId="44" fontId="0" fillId="18" borderId="0" xfId="0" applyNumberFormat="1" applyFill="1" applyAlignment="1">
      <alignment vertical="center"/>
    </xf>
    <xf numFmtId="44" fontId="0" fillId="18" borderId="37" xfId="0" applyNumberFormat="1" applyFill="1" applyBorder="1" applyAlignment="1">
      <alignment vertical="center"/>
    </xf>
    <xf numFmtId="167" fontId="0" fillId="18" borderId="0" xfId="0" applyNumberFormat="1" applyFill="1" applyAlignment="1">
      <alignment horizontal="center" vertical="center"/>
    </xf>
    <xf numFmtId="167" fontId="0" fillId="18" borderId="37" xfId="0" applyNumberFormat="1" applyFill="1" applyBorder="1" applyAlignment="1">
      <alignment horizontal="center" vertical="center"/>
    </xf>
    <xf numFmtId="167" fontId="0" fillId="18" borderId="34" xfId="0" applyNumberFormat="1" applyFill="1" applyBorder="1" applyAlignment="1">
      <alignment horizontal="center" vertical="center"/>
    </xf>
    <xf numFmtId="0" fontId="0" fillId="18" borderId="0" xfId="0" applyFill="1" applyAlignment="1">
      <alignment horizontal="center" vertical="center"/>
    </xf>
    <xf numFmtId="44" fontId="13" fillId="4" borderId="33" xfId="0" applyNumberFormat="1" applyFont="1" applyFill="1" applyBorder="1" applyAlignment="1">
      <alignment vertical="center"/>
    </xf>
    <xf numFmtId="44" fontId="13" fillId="4" borderId="35" xfId="0" applyNumberFormat="1" applyFont="1" applyFill="1" applyBorder="1" applyAlignment="1">
      <alignment vertical="center"/>
    </xf>
    <xf numFmtId="0" fontId="13" fillId="4" borderId="35" xfId="0" applyFont="1" applyFill="1" applyBorder="1" applyAlignment="1">
      <alignment vertical="center"/>
    </xf>
    <xf numFmtId="0" fontId="13" fillId="4" borderId="33" xfId="0" applyFont="1" applyFill="1" applyBorder="1" applyAlignment="1">
      <alignment vertical="center"/>
    </xf>
    <xf numFmtId="167" fontId="13" fillId="4" borderId="35" xfId="0" applyNumberFormat="1" applyFont="1" applyFill="1" applyBorder="1" applyAlignment="1">
      <alignment vertical="center"/>
    </xf>
    <xf numFmtId="167" fontId="13" fillId="4" borderId="33" xfId="0" applyNumberFormat="1" applyFont="1" applyFill="1" applyBorder="1" applyAlignment="1">
      <alignment vertical="center"/>
    </xf>
    <xf numFmtId="167" fontId="13" fillId="4" borderId="32" xfId="0" applyNumberFormat="1" applyFont="1" applyFill="1" applyBorder="1" applyAlignment="1">
      <alignment vertical="center"/>
    </xf>
    <xf numFmtId="0" fontId="13" fillId="0" borderId="39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44" fontId="0" fillId="19" borderId="35" xfId="1" applyFont="1" applyFill="1" applyBorder="1" applyAlignment="1">
      <alignment horizontal="center" vertical="center"/>
    </xf>
    <xf numFmtId="44" fontId="0" fillId="0" borderId="35" xfId="1" applyFont="1" applyFill="1" applyBorder="1" applyAlignment="1">
      <alignment horizontal="center" vertical="center"/>
    </xf>
    <xf numFmtId="44" fontId="13" fillId="7" borderId="33" xfId="0" applyNumberFormat="1" applyFont="1" applyFill="1" applyBorder="1" applyAlignment="1">
      <alignment vertical="center"/>
    </xf>
    <xf numFmtId="44" fontId="13" fillId="7" borderId="35" xfId="0" applyNumberFormat="1" applyFont="1" applyFill="1" applyBorder="1" applyAlignment="1">
      <alignment vertical="center"/>
    </xf>
    <xf numFmtId="44" fontId="0" fillId="7" borderId="35" xfId="0" applyNumberFormat="1" applyFill="1" applyBorder="1" applyAlignment="1">
      <alignment vertical="center"/>
    </xf>
    <xf numFmtId="167" fontId="13" fillId="7" borderId="35" xfId="0" applyNumberFormat="1" applyFont="1" applyFill="1" applyBorder="1" applyAlignment="1">
      <alignment vertical="center"/>
    </xf>
    <xf numFmtId="167" fontId="13" fillId="7" borderId="33" xfId="0" applyNumberFormat="1" applyFont="1" applyFill="1" applyBorder="1" applyAlignment="1">
      <alignment vertical="center"/>
    </xf>
    <xf numFmtId="0" fontId="13" fillId="24" borderId="35" xfId="0" applyFont="1" applyFill="1" applyBorder="1" applyAlignment="1">
      <alignment vertical="center"/>
    </xf>
    <xf numFmtId="44" fontId="0" fillId="24" borderId="35" xfId="0" applyNumberFormat="1" applyFill="1" applyBorder="1" applyAlignment="1">
      <alignment vertical="center"/>
    </xf>
    <xf numFmtId="167" fontId="13" fillId="24" borderId="35" xfId="0" applyNumberFormat="1" applyFont="1" applyFill="1" applyBorder="1" applyAlignment="1">
      <alignment vertical="center"/>
    </xf>
    <xf numFmtId="167" fontId="13" fillId="24" borderId="33" xfId="0" applyNumberFormat="1" applyFont="1" applyFill="1" applyBorder="1" applyAlignment="1">
      <alignment vertical="center"/>
    </xf>
    <xf numFmtId="0" fontId="0" fillId="23" borderId="36" xfId="0" applyFill="1" applyBorder="1"/>
    <xf numFmtId="0" fontId="0" fillId="23" borderId="35" xfId="0" applyFill="1" applyBorder="1"/>
    <xf numFmtId="167" fontId="20" fillId="23" borderId="35" xfId="0" applyNumberFormat="1" applyFont="1" applyFill="1" applyBorder="1" applyAlignment="1">
      <alignment vertical="center"/>
    </xf>
    <xf numFmtId="0" fontId="13" fillId="18" borderId="0" xfId="0" applyFont="1" applyFill="1" applyAlignment="1">
      <alignment horizontal="center" vertical="center"/>
    </xf>
    <xf numFmtId="0" fontId="13" fillId="6" borderId="0" xfId="0" applyFont="1" applyFill="1" applyAlignment="1">
      <alignment horizontal="center" vertical="center"/>
    </xf>
    <xf numFmtId="0" fontId="0" fillId="18" borderId="32" xfId="0" applyFill="1" applyBorder="1" applyAlignment="1">
      <alignment horizontal="right" vertical="center"/>
    </xf>
    <xf numFmtId="0" fontId="0" fillId="0" borderId="34" xfId="0" applyBorder="1" applyAlignment="1">
      <alignment horizontal="right" vertical="center" indent="1"/>
    </xf>
    <xf numFmtId="0" fontId="0" fillId="15" borderId="0" xfId="0" applyFill="1" applyAlignment="1">
      <alignment horizontal="center" vertical="center"/>
    </xf>
    <xf numFmtId="0" fontId="0" fillId="19" borderId="32" xfId="0" applyFill="1" applyBorder="1" applyAlignment="1">
      <alignment horizontal="right" vertical="center"/>
    </xf>
    <xf numFmtId="44" fontId="0" fillId="19" borderId="33" xfId="1" applyFont="1" applyFill="1" applyBorder="1" applyAlignment="1">
      <alignment horizontal="center" vertical="center"/>
    </xf>
    <xf numFmtId="0" fontId="0" fillId="0" borderId="32" xfId="0" applyBorder="1" applyAlignment="1">
      <alignment horizontal="right" vertical="center"/>
    </xf>
    <xf numFmtId="44" fontId="0" fillId="0" borderId="33" xfId="1" applyFont="1" applyFill="1" applyBorder="1" applyAlignment="1">
      <alignment horizontal="center" vertical="center"/>
    </xf>
    <xf numFmtId="0" fontId="0" fillId="18" borderId="34" xfId="0" applyFill="1" applyBorder="1" applyAlignment="1">
      <alignment horizontal="right" vertical="center"/>
    </xf>
    <xf numFmtId="0" fontId="13" fillId="7" borderId="32" xfId="0" applyFont="1" applyFill="1" applyBorder="1" applyAlignment="1">
      <alignment horizontal="right" vertical="center"/>
    </xf>
    <xf numFmtId="0" fontId="13" fillId="24" borderId="32" xfId="0" applyFont="1" applyFill="1" applyBorder="1" applyAlignment="1">
      <alignment horizontal="right" vertical="center"/>
    </xf>
    <xf numFmtId="0" fontId="13" fillId="23" borderId="39" xfId="0" applyFont="1" applyFill="1" applyBorder="1" applyAlignment="1">
      <alignment horizontal="right" vertical="center"/>
    </xf>
    <xf numFmtId="0" fontId="13" fillId="23" borderId="32" xfId="0" applyFont="1" applyFill="1" applyBorder="1" applyAlignment="1">
      <alignment horizontal="right" vertical="center"/>
    </xf>
    <xf numFmtId="0" fontId="0" fillId="25" borderId="36" xfId="0" applyFill="1" applyBorder="1"/>
    <xf numFmtId="44" fontId="0" fillId="25" borderId="35" xfId="0" applyNumberFormat="1" applyFill="1" applyBorder="1" applyAlignment="1">
      <alignment vertical="center"/>
    </xf>
    <xf numFmtId="167" fontId="13" fillId="25" borderId="38" xfId="0" applyNumberFormat="1" applyFont="1" applyFill="1" applyBorder="1" applyAlignment="1">
      <alignment vertical="center"/>
    </xf>
    <xf numFmtId="0" fontId="13" fillId="7" borderId="0" xfId="0" applyFont="1" applyFill="1" applyAlignment="1">
      <alignment horizontal="center" vertical="center"/>
    </xf>
    <xf numFmtId="17" fontId="13" fillId="24" borderId="0" xfId="0" applyNumberFormat="1" applyFont="1" applyFill="1" applyAlignment="1">
      <alignment horizontal="center" vertical="center"/>
    </xf>
    <xf numFmtId="17" fontId="13" fillId="24" borderId="37" xfId="0" applyNumberFormat="1" applyFont="1" applyFill="1" applyBorder="1" applyAlignment="1">
      <alignment horizontal="center" vertical="center"/>
    </xf>
    <xf numFmtId="17" fontId="13" fillId="23" borderId="0" xfId="0" applyNumberFormat="1" applyFont="1" applyFill="1" applyAlignment="1">
      <alignment horizontal="center" vertical="center"/>
    </xf>
    <xf numFmtId="17" fontId="13" fillId="23" borderId="37" xfId="0" applyNumberFormat="1" applyFont="1" applyFill="1" applyBorder="1" applyAlignment="1">
      <alignment horizontal="center" vertical="center"/>
    </xf>
    <xf numFmtId="17" fontId="13" fillId="23" borderId="34" xfId="0" applyNumberFormat="1" applyFont="1" applyFill="1" applyBorder="1" applyAlignment="1">
      <alignment horizontal="center" vertical="center"/>
    </xf>
    <xf numFmtId="0" fontId="13" fillId="30" borderId="0" xfId="0" applyFont="1" applyFill="1" applyAlignment="1">
      <alignment horizontal="center" vertical="center"/>
    </xf>
    <xf numFmtId="44" fontId="0" fillId="30" borderId="35" xfId="0" applyNumberFormat="1" applyFill="1" applyBorder="1" applyAlignment="1">
      <alignment vertical="center"/>
    </xf>
    <xf numFmtId="0" fontId="0" fillId="30" borderId="0" xfId="0" applyFill="1" applyAlignment="1">
      <alignment horizontal="center" vertical="center"/>
    </xf>
    <xf numFmtId="0" fontId="0" fillId="30" borderId="0" xfId="0" applyFill="1" applyAlignment="1">
      <alignment vertical="center"/>
    </xf>
    <xf numFmtId="44" fontId="0" fillId="30" borderId="35" xfId="1" applyFont="1" applyFill="1" applyBorder="1" applyAlignment="1">
      <alignment vertical="center"/>
    </xf>
    <xf numFmtId="0" fontId="0" fillId="30" borderId="34" xfId="0" applyFill="1" applyBorder="1" applyAlignment="1">
      <alignment horizontal="right" vertical="center"/>
    </xf>
    <xf numFmtId="44" fontId="0" fillId="30" borderId="37" xfId="0" applyNumberFormat="1" applyFill="1" applyBorder="1" applyAlignment="1">
      <alignment vertical="center"/>
    </xf>
    <xf numFmtId="44" fontId="0" fillId="30" borderId="0" xfId="0" applyNumberFormat="1" applyFill="1" applyAlignment="1">
      <alignment vertical="center"/>
    </xf>
    <xf numFmtId="167" fontId="0" fillId="30" borderId="34" xfId="0" applyNumberFormat="1" applyFill="1" applyBorder="1" applyAlignment="1">
      <alignment horizontal="center" vertical="center"/>
    </xf>
    <xf numFmtId="167" fontId="0" fillId="30" borderId="0" xfId="0" applyNumberFormat="1" applyFill="1" applyAlignment="1">
      <alignment horizontal="center" vertical="center"/>
    </xf>
    <xf numFmtId="167" fontId="0" fillId="30" borderId="37" xfId="0" applyNumberFormat="1" applyFill="1" applyBorder="1" applyAlignment="1">
      <alignment horizontal="center" vertical="center"/>
    </xf>
    <xf numFmtId="0" fontId="0" fillId="30" borderId="37" xfId="0" applyFill="1" applyBorder="1" applyAlignment="1">
      <alignment horizontal="center" vertical="center"/>
    </xf>
    <xf numFmtId="0" fontId="0" fillId="30" borderId="32" xfId="0" applyFill="1" applyBorder="1" applyAlignment="1">
      <alignment horizontal="right" vertical="center"/>
    </xf>
    <xf numFmtId="44" fontId="0" fillId="30" borderId="33" xfId="0" applyNumberFormat="1" applyFill="1" applyBorder="1" applyAlignment="1">
      <alignment vertical="center"/>
    </xf>
    <xf numFmtId="0" fontId="0" fillId="30" borderId="35" xfId="0" applyFill="1" applyBorder="1" applyAlignment="1">
      <alignment horizontal="center" vertical="center"/>
    </xf>
    <xf numFmtId="0" fontId="0" fillId="30" borderId="33" xfId="0" applyFill="1" applyBorder="1" applyAlignment="1">
      <alignment horizontal="center" vertical="center"/>
    </xf>
    <xf numFmtId="0" fontId="0" fillId="30" borderId="32" xfId="0" applyFill="1" applyBorder="1" applyAlignment="1">
      <alignment horizontal="center" vertical="center"/>
    </xf>
    <xf numFmtId="0" fontId="0" fillId="11" borderId="33" xfId="0" applyFill="1" applyBorder="1" applyAlignment="1">
      <alignment horizontal="center" vertical="center"/>
    </xf>
    <xf numFmtId="44" fontId="0" fillId="0" borderId="33" xfId="0" applyNumberFormat="1" applyBorder="1" applyAlignment="1">
      <alignment horizontal="center" vertical="center"/>
    </xf>
    <xf numFmtId="0" fontId="0" fillId="14" borderId="0" xfId="0" applyFill="1" applyAlignment="1">
      <alignment horizontal="center" vertical="center"/>
    </xf>
    <xf numFmtId="0" fontId="13" fillId="4" borderId="32" xfId="0" applyFont="1" applyFill="1" applyBorder="1" applyAlignment="1">
      <alignment horizontal="right" vertical="center"/>
    </xf>
    <xf numFmtId="0" fontId="13" fillId="11" borderId="32" xfId="0" applyFont="1" applyFill="1" applyBorder="1" applyAlignment="1">
      <alignment horizontal="right" vertical="center"/>
    </xf>
    <xf numFmtId="0" fontId="13" fillId="12" borderId="39" xfId="0" applyFont="1" applyFill="1" applyBorder="1" applyAlignment="1">
      <alignment horizontal="right" vertical="center"/>
    </xf>
    <xf numFmtId="0" fontId="13" fillId="12" borderId="32" xfId="0" applyFont="1" applyFill="1" applyBorder="1" applyAlignment="1">
      <alignment horizontal="right" vertical="center"/>
    </xf>
    <xf numFmtId="0" fontId="31" fillId="31" borderId="32" xfId="0" applyFont="1" applyFill="1" applyBorder="1"/>
    <xf numFmtId="0" fontId="31" fillId="31" borderId="35" xfId="0" applyFont="1" applyFill="1" applyBorder="1"/>
    <xf numFmtId="0" fontId="31" fillId="31" borderId="33" xfId="0" applyFont="1" applyFill="1" applyBorder="1"/>
    <xf numFmtId="0" fontId="13" fillId="30" borderId="38" xfId="0" applyFont="1" applyFill="1" applyBorder="1" applyAlignment="1">
      <alignment horizontal="center" vertical="center"/>
    </xf>
    <xf numFmtId="0" fontId="13" fillId="30" borderId="37" xfId="0" applyFont="1" applyFill="1" applyBorder="1" applyAlignment="1">
      <alignment horizontal="center" vertical="center"/>
    </xf>
    <xf numFmtId="0" fontId="0" fillId="30" borderId="37" xfId="0" applyFill="1" applyBorder="1" applyAlignment="1">
      <alignment vertical="center"/>
    </xf>
    <xf numFmtId="0" fontId="0" fillId="18" borderId="38" xfId="0" applyFill="1" applyBorder="1" applyAlignment="1">
      <alignment vertical="center"/>
    </xf>
    <xf numFmtId="0" fontId="13" fillId="18" borderId="37" xfId="0" applyFont="1" applyFill="1" applyBorder="1" applyAlignment="1">
      <alignment horizontal="center" vertical="center"/>
    </xf>
    <xf numFmtId="0" fontId="0" fillId="18" borderId="37" xfId="0" applyFill="1" applyBorder="1" applyAlignment="1">
      <alignment vertical="center"/>
    </xf>
    <xf numFmtId="0" fontId="13" fillId="32" borderId="32" xfId="0" applyFont="1" applyFill="1" applyBorder="1" applyAlignment="1">
      <alignment horizontal="right" vertical="center"/>
    </xf>
    <xf numFmtId="0" fontId="13" fillId="33" borderId="32" xfId="0" applyFont="1" applyFill="1" applyBorder="1" applyAlignment="1">
      <alignment horizontal="right" vertical="center"/>
    </xf>
    <xf numFmtId="0" fontId="13" fillId="35" borderId="32" xfId="0" applyFont="1" applyFill="1" applyBorder="1" applyAlignment="1">
      <alignment horizontal="right" vertical="center"/>
    </xf>
    <xf numFmtId="0" fontId="0" fillId="35" borderId="35" xfId="0" applyFill="1" applyBorder="1"/>
    <xf numFmtId="0" fontId="0" fillId="34" borderId="33" xfId="0" applyFill="1" applyBorder="1"/>
    <xf numFmtId="0" fontId="0" fillId="32" borderId="35" xfId="0" applyFill="1" applyBorder="1"/>
    <xf numFmtId="0" fontId="0" fillId="33" borderId="35" xfId="0" applyFill="1" applyBorder="1"/>
    <xf numFmtId="44" fontId="13" fillId="32" borderId="32" xfId="1" applyFont="1" applyFill="1" applyBorder="1" applyAlignment="1">
      <alignment horizontal="center" vertical="center"/>
    </xf>
    <xf numFmtId="44" fontId="13" fillId="32" borderId="33" xfId="1" applyFont="1" applyFill="1" applyBorder="1" applyAlignment="1">
      <alignment horizontal="center" vertical="center"/>
    </xf>
    <xf numFmtId="44" fontId="13" fillId="33" borderId="32" xfId="1" applyFont="1" applyFill="1" applyBorder="1" applyAlignment="1">
      <alignment horizontal="center" vertical="center"/>
    </xf>
    <xf numFmtId="44" fontId="13" fillId="33" borderId="33" xfId="1" applyFont="1" applyFill="1" applyBorder="1" applyAlignment="1">
      <alignment horizontal="center" vertical="center"/>
    </xf>
    <xf numFmtId="44" fontId="0" fillId="8" borderId="33" xfId="1" applyFont="1" applyFill="1" applyBorder="1" applyAlignment="1">
      <alignment horizontal="center" vertical="center"/>
    </xf>
    <xf numFmtId="167" fontId="13" fillId="32" borderId="32" xfId="0" applyNumberFormat="1" applyFont="1" applyFill="1" applyBorder="1" applyAlignment="1">
      <alignment horizontal="center" vertical="center"/>
    </xf>
    <xf numFmtId="44" fontId="13" fillId="32" borderId="35" xfId="1" applyFont="1" applyFill="1" applyBorder="1" applyAlignment="1">
      <alignment horizontal="center" vertical="center"/>
    </xf>
    <xf numFmtId="167" fontId="13" fillId="33" borderId="32" xfId="0" applyNumberFormat="1" applyFont="1" applyFill="1" applyBorder="1" applyAlignment="1">
      <alignment horizontal="center" vertical="center"/>
    </xf>
    <xf numFmtId="44" fontId="13" fillId="33" borderId="35" xfId="1" applyFont="1" applyFill="1" applyBorder="1" applyAlignment="1">
      <alignment horizontal="center" vertical="center"/>
    </xf>
    <xf numFmtId="44" fontId="13" fillId="40" borderId="32" xfId="1" applyFont="1" applyFill="1" applyBorder="1" applyAlignment="1">
      <alignment horizontal="center" vertical="center"/>
    </xf>
    <xf numFmtId="44" fontId="13" fillId="40" borderId="33" xfId="1" applyFont="1" applyFill="1" applyBorder="1" applyAlignment="1">
      <alignment horizontal="center" vertical="center"/>
    </xf>
    <xf numFmtId="0" fontId="36" fillId="0" borderId="0" xfId="0" applyFont="1"/>
    <xf numFmtId="44" fontId="13" fillId="33" borderId="0" xfId="1" applyFont="1" applyFill="1" applyBorder="1" applyAlignment="1">
      <alignment horizontal="center" vertical="center"/>
    </xf>
    <xf numFmtId="44" fontId="13" fillId="32" borderId="0" xfId="1" applyFont="1" applyFill="1" applyBorder="1" applyAlignment="1">
      <alignment horizontal="center" vertical="center"/>
    </xf>
    <xf numFmtId="44" fontId="13" fillId="35" borderId="0" xfId="1" applyFont="1" applyFill="1" applyBorder="1" applyAlignment="1">
      <alignment horizontal="center" vertical="center"/>
    </xf>
    <xf numFmtId="0" fontId="35" fillId="0" borderId="0" xfId="0" applyFont="1" applyAlignment="1">
      <alignment vertical="center"/>
    </xf>
    <xf numFmtId="44" fontId="13" fillId="0" borderId="0" xfId="1" applyFont="1"/>
    <xf numFmtId="44" fontId="0" fillId="0" borderId="0" xfId="0" applyNumberFormat="1" applyAlignment="1">
      <alignment horizontal="center" vertical="center"/>
    </xf>
    <xf numFmtId="44" fontId="3" fillId="0" borderId="0" xfId="0" applyNumberFormat="1" applyFont="1" applyAlignment="1">
      <alignment wrapText="1"/>
    </xf>
    <xf numFmtId="0" fontId="5" fillId="0" borderId="20" xfId="2" applyFont="1" applyBorder="1" applyAlignment="1">
      <alignment horizontal="right" vertical="center" wrapText="1"/>
    </xf>
    <xf numFmtId="0" fontId="5" fillId="0" borderId="1" xfId="2" applyFont="1" applyBorder="1" applyAlignment="1">
      <alignment horizontal="left" vertical="center" wrapText="1"/>
    </xf>
    <xf numFmtId="44" fontId="3" fillId="0" borderId="0" xfId="1" applyFont="1" applyFill="1"/>
    <xf numFmtId="0" fontId="33" fillId="0" borderId="2" xfId="2" applyFont="1" applyBorder="1" applyAlignment="1">
      <alignment horizontal="left" vertical="center" wrapText="1" indent="1"/>
    </xf>
    <xf numFmtId="49" fontId="22" fillId="0" borderId="15" xfId="2" applyNumberFormat="1" applyFont="1" applyBorder="1" applyAlignment="1">
      <alignment horizontal="left" vertical="center" wrapText="1"/>
    </xf>
    <xf numFmtId="49" fontId="5" fillId="0" borderId="15" xfId="2" applyNumberFormat="1" applyFont="1" applyBorder="1" applyAlignment="1">
      <alignment horizontal="center" vertical="center" wrapText="1"/>
    </xf>
    <xf numFmtId="1" fontId="5" fillId="0" borderId="29" xfId="2" applyNumberFormat="1" applyFont="1" applyBorder="1" applyAlignment="1">
      <alignment horizontal="center" vertical="center" wrapText="1"/>
    </xf>
    <xf numFmtId="166" fontId="5" fillId="0" borderId="15" xfId="2" applyNumberFormat="1" applyFont="1" applyBorder="1" applyAlignment="1">
      <alignment horizontal="center" vertical="center" wrapText="1"/>
    </xf>
    <xf numFmtId="0" fontId="22" fillId="0" borderId="2" xfId="2" applyFont="1" applyBorder="1" applyAlignment="1">
      <alignment horizontal="left" vertical="center" wrapText="1"/>
    </xf>
    <xf numFmtId="0" fontId="22" fillId="0" borderId="2" xfId="2" applyFont="1" applyBorder="1" applyAlignment="1">
      <alignment horizontal="center" vertical="center" wrapText="1"/>
    </xf>
    <xf numFmtId="0" fontId="22" fillId="0" borderId="21" xfId="2" applyFont="1" applyBorder="1" applyAlignment="1">
      <alignment horizontal="center" vertical="center" wrapText="1"/>
    </xf>
    <xf numFmtId="4" fontId="22" fillId="0" borderId="2" xfId="2" applyNumberFormat="1" applyFont="1" applyBorder="1" applyAlignment="1">
      <alignment horizontal="center" vertical="center" wrapText="1"/>
    </xf>
    <xf numFmtId="166" fontId="22" fillId="0" borderId="2" xfId="2" applyNumberFormat="1" applyFont="1" applyBorder="1" applyAlignment="1">
      <alignment horizontal="center" vertical="center" wrapText="1"/>
    </xf>
    <xf numFmtId="0" fontId="31" fillId="0" borderId="42" xfId="2" applyFont="1" applyBorder="1" applyAlignment="1">
      <alignment horizontal="left" vertical="center" wrapText="1"/>
    </xf>
    <xf numFmtId="0" fontId="31" fillId="0" borderId="2" xfId="2" applyFont="1" applyBorder="1" applyAlignment="1">
      <alignment horizontal="left" vertical="center" wrapText="1"/>
    </xf>
    <xf numFmtId="49" fontId="22" fillId="0" borderId="40" xfId="2" applyNumberFormat="1" applyFont="1" applyBorder="1" applyAlignment="1">
      <alignment horizontal="left" vertical="center" wrapText="1"/>
    </xf>
    <xf numFmtId="49" fontId="5" fillId="0" borderId="40" xfId="2" applyNumberFormat="1" applyFont="1" applyBorder="1" applyAlignment="1">
      <alignment horizontal="left" vertical="center" wrapText="1"/>
    </xf>
    <xf numFmtId="0" fontId="5" fillId="0" borderId="40" xfId="2" applyFont="1" applyBorder="1" applyAlignment="1">
      <alignment horizontal="center" vertical="center" wrapText="1"/>
    </xf>
    <xf numFmtId="49" fontId="29" fillId="0" borderId="40" xfId="2" applyNumberFormat="1" applyFont="1" applyBorder="1" applyAlignment="1">
      <alignment horizontal="left" vertical="center" wrapText="1"/>
    </xf>
    <xf numFmtId="49" fontId="30" fillId="0" borderId="40" xfId="2" applyNumberFormat="1" applyFont="1" applyBorder="1" applyAlignment="1">
      <alignment horizontal="center" vertical="center" wrapText="1"/>
    </xf>
    <xf numFmtId="44" fontId="13" fillId="0" borderId="14" xfId="1" applyFont="1" applyFill="1" applyBorder="1" applyAlignment="1">
      <alignment horizontal="left" vertical="center"/>
    </xf>
    <xf numFmtId="44" fontId="0" fillId="0" borderId="14" xfId="1" applyFont="1" applyFill="1" applyBorder="1" applyAlignment="1">
      <alignment horizontal="left" vertical="center"/>
    </xf>
    <xf numFmtId="0" fontId="5" fillId="0" borderId="1" xfId="2" applyFont="1" applyBorder="1" applyAlignment="1">
      <alignment horizontal="right" vertical="center" wrapText="1"/>
    </xf>
    <xf numFmtId="1" fontId="5" fillId="0" borderId="21" xfId="2" applyNumberFormat="1" applyFont="1" applyBorder="1" applyAlignment="1">
      <alignment horizontal="center" vertical="center" wrapText="1"/>
    </xf>
    <xf numFmtId="2" fontId="5" fillId="0" borderId="21" xfId="2" applyNumberFormat="1" applyFont="1" applyBorder="1" applyAlignment="1">
      <alignment horizontal="center" vertical="center" wrapText="1"/>
    </xf>
    <xf numFmtId="0" fontId="22" fillId="0" borderId="20" xfId="2" applyFont="1" applyBorder="1" applyAlignment="1">
      <alignment horizontal="right" vertical="center" wrapText="1"/>
    </xf>
    <xf numFmtId="0" fontId="22" fillId="0" borderId="1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left" vertical="center" wrapText="1" indent="3"/>
    </xf>
    <xf numFmtId="0" fontId="5" fillId="0" borderId="2" xfId="2" applyFont="1" applyBorder="1" applyAlignment="1">
      <alignment horizontal="left" vertical="center" wrapText="1" indent="1"/>
    </xf>
    <xf numFmtId="49" fontId="22" fillId="0" borderId="2" xfId="2" applyNumberFormat="1" applyFont="1" applyBorder="1" applyAlignment="1">
      <alignment horizontal="left" vertical="center" wrapText="1"/>
    </xf>
    <xf numFmtId="44" fontId="10" fillId="0" borderId="0" xfId="1" applyFont="1" applyFill="1"/>
    <xf numFmtId="0" fontId="5" fillId="0" borderId="2" xfId="2" applyFont="1" applyBorder="1" applyAlignment="1">
      <alignment horizontal="left" vertical="center" wrapText="1" indent="2"/>
    </xf>
    <xf numFmtId="0" fontId="5" fillId="0" borderId="20" xfId="2" applyFont="1" applyBorder="1" applyAlignment="1">
      <alignment horizontal="right" vertical="top" wrapText="1"/>
    </xf>
    <xf numFmtId="0" fontId="5" fillId="0" borderId="1" xfId="2" applyFont="1" applyBorder="1" applyAlignment="1">
      <alignment horizontal="left" vertical="top" wrapText="1"/>
    </xf>
    <xf numFmtId="49" fontId="5" fillId="0" borderId="2" xfId="2" applyNumberFormat="1" applyFont="1" applyBorder="1" applyAlignment="1">
      <alignment horizontal="center" vertical="center" wrapText="1"/>
    </xf>
    <xf numFmtId="0" fontId="10" fillId="0" borderId="0" xfId="0" applyFont="1"/>
    <xf numFmtId="4" fontId="5" fillId="0" borderId="2" xfId="2" applyNumberFormat="1" applyFont="1" applyBorder="1" applyAlignment="1">
      <alignment horizontal="center" vertical="center" wrapText="1"/>
    </xf>
    <xf numFmtId="0" fontId="41" fillId="3" borderId="2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21" xfId="2" applyFont="1" applyFill="1" applyBorder="1" applyAlignment="1">
      <alignment horizontal="center" vertical="center" wrapText="1"/>
    </xf>
    <xf numFmtId="166" fontId="5" fillId="0" borderId="2" xfId="2" applyNumberFormat="1" applyFont="1" applyFill="1" applyBorder="1" applyAlignment="1">
      <alignment horizontal="center" vertical="center" wrapText="1"/>
    </xf>
    <xf numFmtId="1" fontId="22" fillId="0" borderId="21" xfId="2" applyNumberFormat="1" applyFont="1" applyBorder="1" applyAlignment="1">
      <alignment horizontal="center" vertical="center" wrapText="1"/>
    </xf>
    <xf numFmtId="0" fontId="5" fillId="41" borderId="40" xfId="2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wrapText="1" indent="1"/>
    </xf>
    <xf numFmtId="0" fontId="3" fillId="42" borderId="0" xfId="0" applyFont="1" applyFill="1"/>
    <xf numFmtId="1" fontId="5" fillId="4" borderId="15" xfId="2" applyNumberFormat="1" applyFont="1" applyFill="1" applyBorder="1" applyAlignment="1">
      <alignment horizontal="center" vertical="center" wrapText="1"/>
    </xf>
    <xf numFmtId="166" fontId="43" fillId="3" borderId="2" xfId="2" applyNumberFormat="1" applyFont="1" applyFill="1" applyBorder="1" applyAlignment="1">
      <alignment horizontal="center" vertical="center" wrapText="1"/>
    </xf>
    <xf numFmtId="166" fontId="43" fillId="0" borderId="2" xfId="2" applyNumberFormat="1" applyFont="1" applyBorder="1" applyAlignment="1">
      <alignment horizontal="center" vertical="center" wrapText="1"/>
    </xf>
    <xf numFmtId="1" fontId="5" fillId="3" borderId="2" xfId="2" applyNumberFormat="1" applyFont="1" applyFill="1" applyBorder="1" applyAlignment="1">
      <alignment horizontal="center" vertical="center" wrapText="1"/>
    </xf>
    <xf numFmtId="1" fontId="5" fillId="0" borderId="2" xfId="2" applyNumberFormat="1" applyFont="1" applyBorder="1" applyAlignment="1">
      <alignment horizontal="center" vertical="center" wrapText="1"/>
    </xf>
    <xf numFmtId="0" fontId="43" fillId="20" borderId="40" xfId="2" applyFont="1" applyFill="1" applyBorder="1" applyAlignment="1">
      <alignment horizontal="center" vertical="center" wrapText="1"/>
    </xf>
    <xf numFmtId="0" fontId="43" fillId="3" borderId="21" xfId="2" applyFont="1" applyFill="1" applyBorder="1" applyAlignment="1">
      <alignment horizontal="center" vertical="center" wrapText="1"/>
    </xf>
    <xf numFmtId="166" fontId="43" fillId="20" borderId="40" xfId="2" applyNumberFormat="1" applyFont="1" applyFill="1" applyBorder="1" applyAlignment="1">
      <alignment horizontal="center" vertical="center" wrapText="1"/>
    </xf>
    <xf numFmtId="169" fontId="43" fillId="20" borderId="40" xfId="5" applyNumberFormat="1" applyFont="1" applyFill="1" applyBorder="1" applyAlignment="1">
      <alignment horizontal="center" vertical="center" wrapText="1"/>
    </xf>
    <xf numFmtId="0" fontId="43" fillId="20" borderId="40" xfId="2" applyFont="1" applyFill="1" applyBorder="1" applyAlignment="1">
      <alignment horizontal="left" vertical="center" wrapText="1"/>
    </xf>
    <xf numFmtId="49" fontId="43" fillId="20" borderId="40" xfId="2" applyNumberFormat="1" applyFont="1" applyFill="1" applyBorder="1" applyAlignment="1">
      <alignment horizontal="center" vertical="center" wrapText="1"/>
    </xf>
    <xf numFmtId="0" fontId="22" fillId="3" borderId="0" xfId="2" applyFont="1" applyFill="1" applyAlignment="1">
      <alignment horizontal="left" vertical="center" wrapText="1"/>
    </xf>
    <xf numFmtId="0" fontId="5" fillId="3" borderId="29" xfId="2" applyFont="1" applyFill="1" applyBorder="1" applyAlignment="1">
      <alignment horizontal="center" vertical="center" wrapText="1"/>
    </xf>
    <xf numFmtId="4" fontId="22" fillId="3" borderId="15" xfId="2" applyNumberFormat="1" applyFont="1" applyFill="1" applyBorder="1" applyAlignment="1">
      <alignment horizontal="center" vertical="center" wrapText="1"/>
    </xf>
    <xf numFmtId="166" fontId="22" fillId="3" borderId="15" xfId="2" applyNumberFormat="1" applyFont="1" applyFill="1" applyBorder="1" applyAlignment="1">
      <alignment horizontal="center" vertical="center" wrapText="1"/>
    </xf>
    <xf numFmtId="0" fontId="44" fillId="20" borderId="40" xfId="2" applyFont="1" applyFill="1" applyBorder="1" applyAlignment="1">
      <alignment horizontal="left" vertical="center" wrapText="1"/>
    </xf>
    <xf numFmtId="1" fontId="43" fillId="3" borderId="21" xfId="2" applyNumberFormat="1" applyFont="1" applyFill="1" applyBorder="1" applyAlignment="1">
      <alignment horizontal="center" vertical="center" wrapText="1"/>
    </xf>
    <xf numFmtId="4" fontId="43" fillId="3" borderId="2" xfId="2" applyNumberFormat="1" applyFont="1" applyFill="1" applyBorder="1" applyAlignment="1">
      <alignment horizontal="center" vertical="center" wrapText="1"/>
    </xf>
    <xf numFmtId="166" fontId="43" fillId="20" borderId="15" xfId="2" applyNumberFormat="1" applyFont="1" applyFill="1" applyBorder="1" applyAlignment="1">
      <alignment horizontal="center" vertical="center" wrapText="1"/>
    </xf>
    <xf numFmtId="166" fontId="5" fillId="20" borderId="15" xfId="2" applyNumberFormat="1" applyFont="1" applyFill="1" applyBorder="1" applyAlignment="1">
      <alignment horizontal="center" vertical="center" wrapText="1"/>
    </xf>
    <xf numFmtId="166" fontId="5" fillId="3" borderId="15" xfId="2" applyNumberFormat="1" applyFont="1" applyFill="1" applyBorder="1" applyAlignment="1">
      <alignment horizontal="center" vertical="center" wrapText="1"/>
    </xf>
    <xf numFmtId="49" fontId="43" fillId="20" borderId="40" xfId="2" applyNumberFormat="1" applyFont="1" applyFill="1" applyBorder="1" applyAlignment="1">
      <alignment horizontal="left" vertical="center" wrapText="1"/>
    </xf>
    <xf numFmtId="49" fontId="43" fillId="0" borderId="40" xfId="2" applyNumberFormat="1" applyFont="1" applyBorder="1" applyAlignment="1">
      <alignment horizontal="left" vertical="center" wrapText="1"/>
    </xf>
    <xf numFmtId="0" fontId="43" fillId="0" borderId="40" xfId="2" applyFont="1" applyBorder="1" applyAlignment="1">
      <alignment horizontal="center" vertical="center" wrapText="1"/>
    </xf>
    <xf numFmtId="0" fontId="5" fillId="0" borderId="20" xfId="2" applyFont="1" applyFill="1" applyBorder="1" applyAlignment="1">
      <alignment horizontal="right" vertical="center" wrapText="1"/>
    </xf>
    <xf numFmtId="0" fontId="5" fillId="0" borderId="1" xfId="2" applyFont="1" applyFill="1" applyBorder="1" applyAlignment="1">
      <alignment horizontal="left" vertical="center" wrapText="1"/>
    </xf>
    <xf numFmtId="3" fontId="22" fillId="0" borderId="2" xfId="2" applyNumberFormat="1" applyFont="1" applyFill="1" applyBorder="1" applyAlignment="1">
      <alignment horizontal="left" vertical="center" wrapText="1"/>
    </xf>
    <xf numFmtId="49" fontId="5" fillId="0" borderId="2" xfId="2" applyNumberFormat="1" applyFont="1" applyFill="1" applyBorder="1" applyAlignment="1">
      <alignment horizontal="center" vertical="center" wrapText="1"/>
    </xf>
    <xf numFmtId="1" fontId="5" fillId="0" borderId="21" xfId="2" applyNumberFormat="1" applyFont="1" applyFill="1" applyBorder="1" applyAlignment="1">
      <alignment horizontal="center" vertical="center" wrapText="1"/>
    </xf>
    <xf numFmtId="4" fontId="5" fillId="0" borderId="2" xfId="2" applyNumberFormat="1" applyFont="1" applyFill="1" applyBorder="1" applyAlignment="1">
      <alignment horizontal="center" vertical="center" wrapText="1"/>
    </xf>
    <xf numFmtId="166" fontId="22" fillId="0" borderId="2" xfId="2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9" fontId="10" fillId="0" borderId="17" xfId="2" applyNumberFormat="1" applyFont="1" applyFill="1" applyBorder="1" applyAlignment="1">
      <alignment horizontal="center" vertical="center" wrapText="1"/>
    </xf>
    <xf numFmtId="49" fontId="10" fillId="0" borderId="22" xfId="2" applyNumberFormat="1" applyFont="1" applyFill="1" applyBorder="1" applyAlignment="1">
      <alignment horizontal="center" vertical="center" wrapText="1"/>
    </xf>
    <xf numFmtId="49" fontId="10" fillId="0" borderId="22" xfId="2" applyNumberFormat="1" applyFont="1" applyFill="1" applyBorder="1" applyAlignment="1">
      <alignment vertical="center" wrapText="1"/>
    </xf>
    <xf numFmtId="165" fontId="10" fillId="0" borderId="22" xfId="2" applyNumberFormat="1" applyFont="1" applyFill="1" applyBorder="1" applyAlignment="1">
      <alignment horizontal="center" vertical="center" wrapText="1"/>
    </xf>
    <xf numFmtId="49" fontId="9" fillId="0" borderId="19" xfId="2" applyNumberFormat="1" applyFont="1" applyFill="1" applyBorder="1" applyAlignment="1">
      <alignment horizontal="center" vertical="center" wrapText="1"/>
    </xf>
    <xf numFmtId="49" fontId="9" fillId="0" borderId="15" xfId="2" applyNumberFormat="1" applyFont="1" applyFill="1" applyBorder="1" applyAlignment="1">
      <alignment horizontal="center" vertical="center" wrapText="1"/>
    </xf>
    <xf numFmtId="49" fontId="9" fillId="0" borderId="2" xfId="2" applyNumberFormat="1" applyFont="1" applyFill="1" applyBorder="1" applyAlignment="1">
      <alignment vertical="center" wrapText="1"/>
    </xf>
    <xf numFmtId="49" fontId="9" fillId="0" borderId="2" xfId="2" applyNumberFormat="1" applyFont="1" applyFill="1" applyBorder="1" applyAlignment="1">
      <alignment horizontal="center" vertical="center" wrapText="1"/>
    </xf>
    <xf numFmtId="165" fontId="9" fillId="0" borderId="2" xfId="2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0" fontId="5" fillId="0" borderId="30" xfId="2" applyFont="1" applyFill="1" applyBorder="1" applyAlignment="1">
      <alignment horizontal="right" vertical="center" wrapText="1"/>
    </xf>
    <xf numFmtId="0" fontId="10" fillId="0" borderId="31" xfId="0" applyFont="1" applyFill="1" applyBorder="1" applyAlignment="1">
      <alignment horizontal="left" vertical="top" wrapText="1"/>
    </xf>
    <xf numFmtId="0" fontId="0" fillId="0" borderId="28" xfId="0" applyFill="1" applyBorder="1" applyAlignment="1">
      <alignment vertical="center"/>
    </xf>
    <xf numFmtId="0" fontId="3" fillId="0" borderId="23" xfId="0" applyFont="1" applyFill="1" applyBorder="1"/>
    <xf numFmtId="0" fontId="4" fillId="0" borderId="0" xfId="0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wrapText="1"/>
    </xf>
    <xf numFmtId="49" fontId="33" fillId="20" borderId="40" xfId="2" applyNumberFormat="1" applyFont="1" applyFill="1" applyBorder="1" applyAlignment="1">
      <alignment horizontal="left" vertical="center" wrapText="1"/>
    </xf>
    <xf numFmtId="44" fontId="9" fillId="0" borderId="40" xfId="1" applyFont="1" applyFill="1" applyBorder="1" applyAlignment="1">
      <alignment horizontal="left" vertical="center" wrapText="1"/>
    </xf>
    <xf numFmtId="166" fontId="9" fillId="3" borderId="2" xfId="2" applyNumberFormat="1" applyFont="1" applyFill="1" applyBorder="1" applyAlignment="1">
      <alignment horizontal="center" vertical="center" wrapText="1"/>
    </xf>
    <xf numFmtId="0" fontId="22" fillId="0" borderId="0" xfId="2" applyFont="1" applyAlignment="1">
      <alignment horizontal="left" vertical="center" wrapText="1"/>
    </xf>
    <xf numFmtId="0" fontId="44" fillId="0" borderId="20" xfId="2" applyFont="1" applyBorder="1" applyAlignment="1">
      <alignment horizontal="right" vertical="center" wrapText="1"/>
    </xf>
    <xf numFmtId="0" fontId="44" fillId="0" borderId="1" xfId="2" applyFont="1" applyBorder="1" applyAlignment="1">
      <alignment horizontal="left" vertical="center" wrapText="1"/>
    </xf>
    <xf numFmtId="0" fontId="43" fillId="0" borderId="2" xfId="2" applyFont="1" applyBorder="1" applyAlignment="1">
      <alignment horizontal="left" vertical="center" wrapText="1"/>
    </xf>
    <xf numFmtId="0" fontId="43" fillId="0" borderId="2" xfId="2" applyFont="1" applyBorder="1" applyAlignment="1">
      <alignment horizontal="center" vertical="center" wrapText="1"/>
    </xf>
    <xf numFmtId="0" fontId="43" fillId="0" borderId="21" xfId="2" applyFont="1" applyBorder="1" applyAlignment="1">
      <alignment horizontal="center" vertical="center" wrapText="1"/>
    </xf>
    <xf numFmtId="0" fontId="38" fillId="0" borderId="0" xfId="0" applyFont="1"/>
    <xf numFmtId="0" fontId="42" fillId="0" borderId="42" xfId="2" applyFont="1" applyBorder="1" applyAlignment="1">
      <alignment horizontal="left" vertical="center" wrapText="1"/>
    </xf>
    <xf numFmtId="44" fontId="9" fillId="20" borderId="40" xfId="1" applyFont="1" applyFill="1" applyBorder="1" applyAlignment="1">
      <alignment horizontal="left" vertical="center" wrapText="1"/>
    </xf>
    <xf numFmtId="166" fontId="22" fillId="42" borderId="2" xfId="2" applyNumberFormat="1" applyFont="1" applyFill="1" applyBorder="1" applyAlignment="1">
      <alignment horizontal="center" vertical="center" wrapText="1"/>
    </xf>
    <xf numFmtId="166" fontId="5" fillId="42" borderId="2" xfId="2" applyNumberFormat="1" applyFont="1" applyFill="1" applyBorder="1" applyAlignment="1">
      <alignment horizontal="center" vertical="center" wrapText="1"/>
    </xf>
    <xf numFmtId="0" fontId="22" fillId="0" borderId="1" xfId="2" applyFont="1" applyFill="1" applyBorder="1" applyAlignment="1">
      <alignment horizontal="left" vertical="center" wrapText="1"/>
    </xf>
    <xf numFmtId="0" fontId="22" fillId="0" borderId="2" xfId="2" applyFont="1" applyFill="1" applyBorder="1" applyAlignment="1">
      <alignment horizontal="left" vertical="center" wrapText="1"/>
    </xf>
    <xf numFmtId="0" fontId="22" fillId="0" borderId="2" xfId="2" applyFont="1" applyFill="1" applyBorder="1" applyAlignment="1">
      <alignment horizontal="center" vertical="center" wrapText="1"/>
    </xf>
    <xf numFmtId="4" fontId="5" fillId="0" borderId="21" xfId="2" applyNumberFormat="1" applyFont="1" applyFill="1" applyBorder="1" applyAlignment="1">
      <alignment horizontal="center" vertical="center" wrapText="1"/>
    </xf>
    <xf numFmtId="4" fontId="22" fillId="0" borderId="2" xfId="2" applyNumberFormat="1" applyFont="1" applyFill="1" applyBorder="1" applyAlignment="1">
      <alignment horizontal="center" vertical="center" wrapText="1"/>
    </xf>
    <xf numFmtId="4" fontId="22" fillId="0" borderId="21" xfId="2" applyNumberFormat="1" applyFont="1" applyFill="1" applyBorder="1" applyAlignment="1">
      <alignment horizontal="center" vertical="center" wrapText="1"/>
    </xf>
    <xf numFmtId="0" fontId="44" fillId="0" borderId="2" xfId="2" applyFont="1" applyFill="1" applyBorder="1" applyAlignment="1">
      <alignment horizontal="center" vertical="center" wrapText="1"/>
    </xf>
    <xf numFmtId="49" fontId="22" fillId="0" borderId="15" xfId="2" applyNumberFormat="1" applyFont="1" applyFill="1" applyBorder="1" applyAlignment="1">
      <alignment horizontal="left" vertical="center" wrapText="1"/>
    </xf>
    <xf numFmtId="0" fontId="22" fillId="0" borderId="20" xfId="2" applyFont="1" applyFill="1" applyBorder="1" applyAlignment="1">
      <alignment horizontal="right" vertical="center" wrapText="1"/>
    </xf>
    <xf numFmtId="49" fontId="22" fillId="0" borderId="15" xfId="2" applyNumberFormat="1" applyFont="1" applyFill="1" applyBorder="1" applyAlignment="1">
      <alignment horizontal="center" vertical="center" wrapText="1"/>
    </xf>
    <xf numFmtId="166" fontId="22" fillId="0" borderId="15" xfId="2" applyNumberFormat="1" applyFont="1" applyFill="1" applyBorder="1" applyAlignment="1">
      <alignment horizontal="center" vertical="center" wrapText="1"/>
    </xf>
    <xf numFmtId="4" fontId="22" fillId="0" borderId="29" xfId="2" applyNumberFormat="1" applyFont="1" applyFill="1" applyBorder="1" applyAlignment="1">
      <alignment horizontal="center" vertical="center" wrapText="1"/>
    </xf>
    <xf numFmtId="171" fontId="5" fillId="0" borderId="21" xfId="16" applyNumberFormat="1" applyFont="1" applyBorder="1" applyAlignment="1">
      <alignment horizontal="center" vertical="center" wrapText="1"/>
    </xf>
    <xf numFmtId="0" fontId="22" fillId="42" borderId="2" xfId="2" applyFont="1" applyFill="1" applyBorder="1" applyAlignment="1">
      <alignment horizontal="left" vertical="center" wrapText="1"/>
    </xf>
    <xf numFmtId="0" fontId="22" fillId="42" borderId="2" xfId="2" applyFont="1" applyFill="1" applyBorder="1" applyAlignment="1">
      <alignment horizontal="center" vertical="center" wrapText="1"/>
    </xf>
    <xf numFmtId="0" fontId="5" fillId="42" borderId="21" xfId="2" applyFont="1" applyFill="1" applyBorder="1" applyAlignment="1">
      <alignment horizontal="center" vertical="center" wrapText="1"/>
    </xf>
    <xf numFmtId="171" fontId="5" fillId="42" borderId="21" xfId="16" applyNumberFormat="1" applyFont="1" applyFill="1" applyBorder="1" applyAlignment="1">
      <alignment horizontal="center" vertical="center" wrapText="1"/>
    </xf>
    <xf numFmtId="49" fontId="22" fillId="42" borderId="2" xfId="2" applyNumberFormat="1" applyFont="1" applyFill="1" applyBorder="1" applyAlignment="1">
      <alignment horizontal="left" vertical="center" wrapText="1"/>
    </xf>
    <xf numFmtId="49" fontId="5" fillId="42" borderId="2" xfId="2" applyNumberFormat="1" applyFont="1" applyFill="1" applyBorder="1" applyAlignment="1">
      <alignment horizontal="center" vertical="center" wrapText="1"/>
    </xf>
    <xf numFmtId="1" fontId="5" fillId="42" borderId="2" xfId="2" applyNumberFormat="1" applyFont="1" applyFill="1" applyBorder="1" applyAlignment="1">
      <alignment horizontal="center" vertical="center" wrapText="1"/>
    </xf>
    <xf numFmtId="49" fontId="23" fillId="42" borderId="2" xfId="2" applyNumberFormat="1" applyFont="1" applyFill="1" applyBorder="1" applyAlignment="1">
      <alignment horizontal="center" vertical="center" wrapText="1"/>
    </xf>
    <xf numFmtId="171" fontId="5" fillId="42" borderId="2" xfId="16" applyNumberFormat="1" applyFont="1" applyFill="1" applyBorder="1" applyAlignment="1">
      <alignment horizontal="center" vertical="center" wrapText="1"/>
    </xf>
    <xf numFmtId="49" fontId="22" fillId="42" borderId="2" xfId="2" applyNumberFormat="1" applyFont="1" applyFill="1" applyBorder="1" applyAlignment="1">
      <alignment horizontal="center" vertical="center" wrapText="1"/>
    </xf>
    <xf numFmtId="1" fontId="22" fillId="42" borderId="2" xfId="2" applyNumberFormat="1" applyFont="1" applyFill="1" applyBorder="1" applyAlignment="1">
      <alignment horizontal="center" vertical="center" wrapText="1"/>
    </xf>
    <xf numFmtId="44" fontId="22" fillId="42" borderId="2" xfId="1" applyFont="1" applyFill="1" applyBorder="1" applyAlignment="1">
      <alignment horizontal="center" vertical="center" wrapText="1"/>
    </xf>
    <xf numFmtId="49" fontId="47" fillId="42" borderId="2" xfId="2" applyNumberFormat="1" applyFont="1" applyFill="1" applyBorder="1" applyAlignment="1">
      <alignment horizontal="center" vertical="center" wrapText="1"/>
    </xf>
    <xf numFmtId="171" fontId="22" fillId="42" borderId="2" xfId="16" applyNumberFormat="1" applyFont="1" applyFill="1" applyBorder="1" applyAlignment="1">
      <alignment horizontal="center" vertical="center" wrapText="1"/>
    </xf>
    <xf numFmtId="4" fontId="22" fillId="42" borderId="2" xfId="2" applyNumberFormat="1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left" vertical="center" wrapText="1" indent="1"/>
    </xf>
    <xf numFmtId="0" fontId="22" fillId="42" borderId="1" xfId="2" applyFont="1" applyFill="1" applyBorder="1" applyAlignment="1">
      <alignment horizontal="left" vertical="center" wrapText="1"/>
    </xf>
    <xf numFmtId="0" fontId="5" fillId="42" borderId="2" xfId="2" applyFont="1" applyFill="1" applyBorder="1" applyAlignment="1">
      <alignment horizontal="center" vertical="center" wrapText="1"/>
    </xf>
    <xf numFmtId="171" fontId="22" fillId="42" borderId="21" xfId="16" applyNumberFormat="1" applyFont="1" applyFill="1" applyBorder="1" applyAlignment="1">
      <alignment horizontal="center" vertical="center" wrapText="1"/>
    </xf>
    <xf numFmtId="0" fontId="18" fillId="42" borderId="0" xfId="0" applyFont="1" applyFill="1"/>
    <xf numFmtId="0" fontId="22" fillId="42" borderId="20" xfId="2" applyFont="1" applyFill="1" applyBorder="1" applyAlignment="1">
      <alignment horizontal="right" vertical="center" wrapText="1"/>
    </xf>
    <xf numFmtId="0" fontId="22" fillId="3" borderId="19" xfId="2" applyFont="1" applyFill="1" applyBorder="1" applyAlignment="1">
      <alignment horizontal="right" vertical="center" wrapText="1"/>
    </xf>
    <xf numFmtId="0" fontId="22" fillId="11" borderId="0" xfId="2" applyFont="1" applyFill="1" applyBorder="1" applyAlignment="1">
      <alignment horizontal="left" vertical="center" wrapText="1"/>
    </xf>
    <xf numFmtId="49" fontId="22" fillId="11" borderId="15" xfId="2" applyNumberFormat="1" applyFont="1" applyFill="1" applyBorder="1" applyAlignment="1">
      <alignment horizontal="left" vertical="center" wrapText="1"/>
    </xf>
    <xf numFmtId="49" fontId="23" fillId="11" borderId="15" xfId="2" applyNumberFormat="1" applyFont="1" applyFill="1" applyBorder="1" applyAlignment="1">
      <alignment horizontal="center" vertical="center" wrapText="1"/>
    </xf>
    <xf numFmtId="1" fontId="5" fillId="11" borderId="29" xfId="2" applyNumberFormat="1" applyFont="1" applyFill="1" applyBorder="1" applyAlignment="1">
      <alignment horizontal="center" vertical="center" wrapText="1"/>
    </xf>
    <xf numFmtId="4" fontId="22" fillId="11" borderId="15" xfId="2" applyNumberFormat="1" applyFont="1" applyFill="1" applyBorder="1" applyAlignment="1">
      <alignment horizontal="center" vertical="center" wrapText="1"/>
    </xf>
    <xf numFmtId="166" fontId="22" fillId="11" borderId="15" xfId="2" applyNumberFormat="1" applyFont="1" applyFill="1" applyBorder="1" applyAlignment="1">
      <alignment horizontal="center" vertical="center" wrapText="1"/>
    </xf>
    <xf numFmtId="1" fontId="5" fillId="11" borderId="15" xfId="2" applyNumberFormat="1" applyFont="1" applyFill="1" applyBorder="1" applyAlignment="1">
      <alignment horizontal="center" vertical="center" wrapText="1"/>
    </xf>
    <xf numFmtId="0" fontId="3" fillId="11" borderId="0" xfId="0" applyFont="1" applyFill="1"/>
    <xf numFmtId="49" fontId="5" fillId="0" borderId="2" xfId="2" applyNumberFormat="1" applyFont="1" applyBorder="1" applyAlignment="1">
      <alignment horizontal="left" vertical="center" wrapText="1"/>
    </xf>
    <xf numFmtId="166" fontId="5" fillId="0" borderId="40" xfId="2" applyNumberFormat="1" applyFont="1" applyBorder="1" applyAlignment="1">
      <alignment horizontal="center" vertical="center" wrapText="1"/>
    </xf>
    <xf numFmtId="169" fontId="5" fillId="0" borderId="40" xfId="5" applyNumberFormat="1" applyFont="1" applyFill="1" applyBorder="1" applyAlignment="1">
      <alignment horizontal="center" vertical="center" wrapText="1"/>
    </xf>
    <xf numFmtId="169" fontId="5" fillId="3" borderId="21" xfId="2" applyNumberFormat="1" applyFont="1" applyFill="1" applyBorder="1" applyAlignment="1">
      <alignment horizontal="center" vertical="center" wrapText="1"/>
    </xf>
    <xf numFmtId="0" fontId="15" fillId="3" borderId="0" xfId="4" applyFill="1" applyAlignment="1">
      <alignment horizontal="left" wrapText="1"/>
    </xf>
    <xf numFmtId="0" fontId="13" fillId="3" borderId="0" xfId="0" applyFont="1" applyFill="1" applyAlignment="1">
      <alignment horizontal="left" vertical="center" wrapText="1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left"/>
    </xf>
    <xf numFmtId="0" fontId="3" fillId="3" borderId="3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3" fillId="3" borderId="8" xfId="0" applyFont="1" applyFill="1" applyBorder="1" applyAlignment="1">
      <alignment wrapText="1"/>
    </xf>
    <xf numFmtId="0" fontId="14" fillId="5" borderId="5" xfId="0" applyFont="1" applyFill="1" applyBorder="1" applyAlignment="1">
      <alignment horizontal="center" vertical="center" textRotation="180" wrapText="1"/>
    </xf>
    <xf numFmtId="0" fontId="14" fillId="5" borderId="7" xfId="0" applyFont="1" applyFill="1" applyBorder="1" applyAlignment="1">
      <alignment horizontal="center" vertical="center" textRotation="180" wrapText="1"/>
    </xf>
    <xf numFmtId="0" fontId="14" fillId="5" borderId="10" xfId="0" applyFont="1" applyFill="1" applyBorder="1" applyAlignment="1">
      <alignment horizontal="center" vertical="center" textRotation="180" wrapText="1"/>
    </xf>
    <xf numFmtId="0" fontId="19" fillId="2" borderId="8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19" fillId="2" borderId="10" xfId="0" applyFont="1" applyFill="1" applyBorder="1" applyAlignment="1">
      <alignment horizontal="center" vertical="top" wrapText="1"/>
    </xf>
    <xf numFmtId="0" fontId="16" fillId="2" borderId="11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25" fillId="9" borderId="32" xfId="0" applyFont="1" applyFill="1" applyBorder="1" applyAlignment="1">
      <alignment horizontal="center" vertical="center" wrapText="1"/>
    </xf>
    <xf numFmtId="0" fontId="25" fillId="9" borderId="35" xfId="0" applyFont="1" applyFill="1" applyBorder="1" applyAlignment="1">
      <alignment horizontal="center" vertical="center" wrapText="1"/>
    </xf>
    <xf numFmtId="0" fontId="25" fillId="9" borderId="33" xfId="0" applyFont="1" applyFill="1" applyBorder="1" applyAlignment="1">
      <alignment horizontal="center" vertical="center" wrapText="1"/>
    </xf>
    <xf numFmtId="44" fontId="20" fillId="8" borderId="32" xfId="1" applyFont="1" applyFill="1" applyBorder="1" applyAlignment="1">
      <alignment horizontal="center" vertical="center"/>
    </xf>
    <xf numFmtId="44" fontId="20" fillId="8" borderId="35" xfId="1" applyFont="1" applyFill="1" applyBorder="1" applyAlignment="1">
      <alignment horizontal="center" vertical="center"/>
    </xf>
    <xf numFmtId="44" fontId="20" fillId="8" borderId="33" xfId="1" applyFont="1" applyFill="1" applyBorder="1" applyAlignment="1">
      <alignment horizontal="center" vertical="center"/>
    </xf>
    <xf numFmtId="0" fontId="37" fillId="15" borderId="32" xfId="0" applyFont="1" applyFill="1" applyBorder="1" applyAlignment="1">
      <alignment horizontal="center" vertical="center"/>
    </xf>
    <xf numFmtId="0" fontId="37" fillId="15" borderId="35" xfId="0" applyFont="1" applyFill="1" applyBorder="1" applyAlignment="1">
      <alignment horizontal="center" vertical="center"/>
    </xf>
    <xf numFmtId="0" fontId="37" fillId="15" borderId="33" xfId="0" applyFont="1" applyFill="1" applyBorder="1" applyAlignment="1">
      <alignment horizontal="center" vertical="center"/>
    </xf>
    <xf numFmtId="0" fontId="13" fillId="7" borderId="36" xfId="0" applyFont="1" applyFill="1" applyBorder="1" applyAlignment="1">
      <alignment horizontal="center" vertical="center"/>
    </xf>
    <xf numFmtId="0" fontId="13" fillId="7" borderId="37" xfId="0" applyFont="1" applyFill="1" applyBorder="1" applyAlignment="1">
      <alignment horizontal="center" vertical="center" wrapText="1"/>
    </xf>
    <xf numFmtId="0" fontId="13" fillId="7" borderId="41" xfId="0" applyFont="1" applyFill="1" applyBorder="1" applyAlignment="1">
      <alignment horizontal="center" vertical="center" wrapText="1"/>
    </xf>
    <xf numFmtId="0" fontId="13" fillId="7" borderId="34" xfId="0" applyFont="1" applyFill="1" applyBorder="1" applyAlignment="1">
      <alignment horizontal="center" vertical="center"/>
    </xf>
    <xf numFmtId="0" fontId="13" fillId="7" borderId="43" xfId="0" applyFont="1" applyFill="1" applyBorder="1" applyAlignment="1">
      <alignment horizontal="center" vertical="center"/>
    </xf>
    <xf numFmtId="167" fontId="20" fillId="27" borderId="32" xfId="0" applyNumberFormat="1" applyFont="1" applyFill="1" applyBorder="1" applyAlignment="1">
      <alignment horizontal="center" vertical="center"/>
    </xf>
    <xf numFmtId="0" fontId="20" fillId="27" borderId="35" xfId="0" applyFont="1" applyFill="1" applyBorder="1" applyAlignment="1">
      <alignment horizontal="center" vertical="center"/>
    </xf>
    <xf numFmtId="0" fontId="20" fillId="27" borderId="33" xfId="0" applyFont="1" applyFill="1" applyBorder="1" applyAlignment="1">
      <alignment horizontal="center" vertical="center"/>
    </xf>
    <xf numFmtId="167" fontId="20" fillId="26" borderId="36" xfId="0" applyNumberFormat="1" applyFont="1" applyFill="1" applyBorder="1" applyAlignment="1">
      <alignment horizontal="center" vertical="center"/>
    </xf>
    <xf numFmtId="0" fontId="20" fillId="26" borderId="36" xfId="0" applyFont="1" applyFill="1" applyBorder="1" applyAlignment="1">
      <alignment horizontal="center" vertical="center"/>
    </xf>
    <xf numFmtId="0" fontId="20" fillId="26" borderId="38" xfId="0" applyFont="1" applyFill="1" applyBorder="1" applyAlignment="1">
      <alignment horizontal="center" vertical="center"/>
    </xf>
    <xf numFmtId="167" fontId="20" fillId="28" borderId="32" xfId="0" applyNumberFormat="1" applyFont="1" applyFill="1" applyBorder="1" applyAlignment="1">
      <alignment horizontal="center" vertical="center"/>
    </xf>
    <xf numFmtId="167" fontId="20" fillId="28" borderId="35" xfId="0" applyNumberFormat="1" applyFont="1" applyFill="1" applyBorder="1" applyAlignment="1">
      <alignment horizontal="center" vertical="center"/>
    </xf>
    <xf numFmtId="167" fontId="20" fillId="28" borderId="33" xfId="0" applyNumberFormat="1" applyFont="1" applyFill="1" applyBorder="1" applyAlignment="1">
      <alignment horizontal="center" vertical="center"/>
    </xf>
    <xf numFmtId="167" fontId="13" fillId="29" borderId="35" xfId="0" applyNumberFormat="1" applyFont="1" applyFill="1" applyBorder="1" applyAlignment="1">
      <alignment horizontal="center" vertical="center"/>
    </xf>
    <xf numFmtId="0" fontId="13" fillId="29" borderId="35" xfId="0" applyFont="1" applyFill="1" applyBorder="1" applyAlignment="1">
      <alignment horizontal="center" vertical="center"/>
    </xf>
    <xf numFmtId="0" fontId="13" fillId="29" borderId="33" xfId="0" applyFont="1" applyFill="1" applyBorder="1" applyAlignment="1">
      <alignment horizontal="center" vertical="center"/>
    </xf>
    <xf numFmtId="0" fontId="13" fillId="6" borderId="34" xfId="0" applyFont="1" applyFill="1" applyBorder="1" applyAlignment="1">
      <alignment horizontal="center" vertical="center"/>
    </xf>
    <xf numFmtId="0" fontId="13" fillId="6" borderId="43" xfId="0" applyFont="1" applyFill="1" applyBorder="1" applyAlignment="1">
      <alignment horizontal="center" vertical="center"/>
    </xf>
    <xf numFmtId="0" fontId="13" fillId="6" borderId="37" xfId="0" applyFont="1" applyFill="1" applyBorder="1" applyAlignment="1">
      <alignment horizontal="center" vertical="center" wrapText="1"/>
    </xf>
    <xf numFmtId="0" fontId="13" fillId="6" borderId="41" xfId="0" applyFont="1" applyFill="1" applyBorder="1" applyAlignment="1">
      <alignment horizontal="center" vertical="center" wrapText="1"/>
    </xf>
    <xf numFmtId="167" fontId="20" fillId="23" borderId="32" xfId="0" applyNumberFormat="1" applyFont="1" applyFill="1" applyBorder="1" applyAlignment="1">
      <alignment horizontal="center" vertical="center"/>
    </xf>
    <xf numFmtId="167" fontId="20" fillId="23" borderId="35" xfId="0" applyNumberFormat="1" applyFont="1" applyFill="1" applyBorder="1" applyAlignment="1">
      <alignment horizontal="center" vertical="center"/>
    </xf>
    <xf numFmtId="167" fontId="20" fillId="23" borderId="33" xfId="0" applyNumberFormat="1" applyFont="1" applyFill="1" applyBorder="1" applyAlignment="1">
      <alignment horizontal="center" vertical="center"/>
    </xf>
    <xf numFmtId="167" fontId="20" fillId="6" borderId="36" xfId="0" applyNumberFormat="1" applyFont="1" applyFill="1" applyBorder="1" applyAlignment="1">
      <alignment horizontal="center" vertical="center"/>
    </xf>
    <xf numFmtId="0" fontId="20" fillId="6" borderId="36" xfId="0" applyFont="1" applyFill="1" applyBorder="1" applyAlignment="1">
      <alignment horizontal="center" vertical="center"/>
    </xf>
    <xf numFmtId="0" fontId="20" fillId="6" borderId="38" xfId="0" applyFont="1" applyFill="1" applyBorder="1" applyAlignment="1">
      <alignment horizontal="center" vertical="center"/>
    </xf>
    <xf numFmtId="167" fontId="20" fillId="9" borderId="36" xfId="0" applyNumberFormat="1" applyFont="1" applyFill="1" applyBorder="1" applyAlignment="1">
      <alignment horizontal="center" vertical="center"/>
    </xf>
    <xf numFmtId="0" fontId="20" fillId="9" borderId="36" xfId="0" applyFont="1" applyFill="1" applyBorder="1" applyAlignment="1">
      <alignment horizontal="center" vertical="center"/>
    </xf>
    <xf numFmtId="0" fontId="20" fillId="9" borderId="38" xfId="0" applyFont="1" applyFill="1" applyBorder="1" applyAlignment="1">
      <alignment horizontal="center" vertical="center"/>
    </xf>
    <xf numFmtId="167" fontId="20" fillId="8" borderId="39" xfId="0" applyNumberFormat="1" applyFont="1" applyFill="1" applyBorder="1" applyAlignment="1">
      <alignment horizontal="center" vertical="center"/>
    </xf>
    <xf numFmtId="0" fontId="20" fillId="8" borderId="36" xfId="0" applyFont="1" applyFill="1" applyBorder="1" applyAlignment="1">
      <alignment horizontal="center" vertical="center"/>
    </xf>
    <xf numFmtId="0" fontId="20" fillId="8" borderId="38" xfId="0" applyFont="1" applyFill="1" applyBorder="1" applyAlignment="1">
      <alignment horizontal="center" vertical="center"/>
    </xf>
    <xf numFmtId="0" fontId="13" fillId="6" borderId="39" xfId="0" applyFont="1" applyFill="1" applyBorder="1" applyAlignment="1">
      <alignment horizontal="center" vertical="center"/>
    </xf>
    <xf numFmtId="0" fontId="13" fillId="6" borderId="36" xfId="0" applyFont="1" applyFill="1" applyBorder="1" applyAlignment="1">
      <alignment horizontal="center" vertical="center"/>
    </xf>
    <xf numFmtId="0" fontId="0" fillId="12" borderId="32" xfId="0" applyFill="1" applyBorder="1" applyAlignment="1">
      <alignment horizontal="center"/>
    </xf>
    <xf numFmtId="0" fontId="0" fillId="12" borderId="35" xfId="0" applyFill="1" applyBorder="1" applyAlignment="1">
      <alignment horizontal="center"/>
    </xf>
    <xf numFmtId="0" fontId="0" fillId="12" borderId="33" xfId="0" applyFill="1" applyBorder="1" applyAlignment="1">
      <alignment horizontal="center"/>
    </xf>
    <xf numFmtId="167" fontId="13" fillId="35" borderId="32" xfId="0" applyNumberFormat="1" applyFont="1" applyFill="1" applyBorder="1" applyAlignment="1">
      <alignment horizontal="center" vertical="center"/>
    </xf>
    <xf numFmtId="0" fontId="13" fillId="35" borderId="35" xfId="0" applyFont="1" applyFill="1" applyBorder="1" applyAlignment="1">
      <alignment horizontal="center" vertical="center"/>
    </xf>
    <xf numFmtId="0" fontId="13" fillId="35" borderId="33" xfId="0" applyFont="1" applyFill="1" applyBorder="1" applyAlignment="1">
      <alignment horizontal="center" vertical="center"/>
    </xf>
    <xf numFmtId="167" fontId="20" fillId="12" borderId="32" xfId="0" applyNumberFormat="1" applyFont="1" applyFill="1" applyBorder="1" applyAlignment="1">
      <alignment horizontal="center" vertical="center"/>
    </xf>
    <xf numFmtId="167" fontId="20" fillId="12" borderId="35" xfId="0" applyNumberFormat="1" applyFont="1" applyFill="1" applyBorder="1" applyAlignment="1">
      <alignment horizontal="center" vertical="center"/>
    </xf>
    <xf numFmtId="167" fontId="20" fillId="12" borderId="33" xfId="0" applyNumberFormat="1" applyFont="1" applyFill="1" applyBorder="1" applyAlignment="1">
      <alignment horizontal="center" vertical="center"/>
    </xf>
    <xf numFmtId="44" fontId="13" fillId="37" borderId="32" xfId="1" applyFont="1" applyFill="1" applyBorder="1" applyAlignment="1">
      <alignment horizontal="center" vertical="center"/>
    </xf>
    <xf numFmtId="44" fontId="13" fillId="37" borderId="35" xfId="1" applyFont="1" applyFill="1" applyBorder="1" applyAlignment="1">
      <alignment horizontal="center" vertical="center"/>
    </xf>
    <xf numFmtId="44" fontId="13" fillId="37" borderId="33" xfId="1" applyFont="1" applyFill="1" applyBorder="1" applyAlignment="1">
      <alignment horizontal="center" vertical="center"/>
    </xf>
    <xf numFmtId="44" fontId="13" fillId="36" borderId="32" xfId="1" applyFont="1" applyFill="1" applyBorder="1" applyAlignment="1">
      <alignment horizontal="center" vertical="center"/>
    </xf>
    <xf numFmtId="44" fontId="13" fillId="36" borderId="35" xfId="1" applyFont="1" applyFill="1" applyBorder="1" applyAlignment="1">
      <alignment horizontal="center" vertical="center"/>
    </xf>
    <xf numFmtId="44" fontId="13" fillId="36" borderId="33" xfId="1" applyFont="1" applyFill="1" applyBorder="1" applyAlignment="1">
      <alignment horizontal="center" vertical="center"/>
    </xf>
    <xf numFmtId="44" fontId="13" fillId="38" borderId="32" xfId="1" applyFont="1" applyFill="1" applyBorder="1" applyAlignment="1">
      <alignment horizontal="center" vertical="center"/>
    </xf>
    <xf numFmtId="44" fontId="13" fillId="38" borderId="35" xfId="1" applyFont="1" applyFill="1" applyBorder="1" applyAlignment="1">
      <alignment horizontal="center" vertical="center"/>
    </xf>
    <xf numFmtId="44" fontId="13" fillId="38" borderId="33" xfId="1" applyFont="1" applyFill="1" applyBorder="1" applyAlignment="1">
      <alignment horizontal="center" vertical="center"/>
    </xf>
    <xf numFmtId="44" fontId="13" fillId="39" borderId="32" xfId="1" applyFont="1" applyFill="1" applyBorder="1" applyAlignment="1">
      <alignment horizontal="center" vertical="center"/>
    </xf>
    <xf numFmtId="44" fontId="13" fillId="39" borderId="35" xfId="1" applyFont="1" applyFill="1" applyBorder="1" applyAlignment="1">
      <alignment horizontal="center" vertical="center"/>
    </xf>
    <xf numFmtId="44" fontId="13" fillId="39" borderId="33" xfId="1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wrapText="1"/>
    </xf>
    <xf numFmtId="0" fontId="11" fillId="7" borderId="24" xfId="0" applyFont="1" applyFill="1" applyBorder="1" applyAlignment="1">
      <alignment horizontal="center" vertical="center" wrapText="1"/>
    </xf>
    <xf numFmtId="0" fontId="11" fillId="7" borderId="25" xfId="0" applyFont="1" applyFill="1" applyBorder="1" applyAlignment="1">
      <alignment horizontal="center" vertical="center" wrapText="1"/>
    </xf>
    <xf numFmtId="0" fontId="11" fillId="7" borderId="26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0" fontId="11" fillId="2" borderId="26" xfId="0" applyFont="1" applyFill="1" applyBorder="1" applyAlignment="1">
      <alignment horizontal="center" vertical="center" wrapText="1"/>
    </xf>
  </cellXfs>
  <cellStyles count="17">
    <cellStyle name="Euro" xfId="7"/>
    <cellStyle name="Euro 2" xfId="15"/>
    <cellStyle name="Lien hypertexte" xfId="4" builtinId="8"/>
    <cellStyle name="Lien hypertexte_G01291 - Estimations APD par lot" xfId="3"/>
    <cellStyle name="Milliers" xfId="5" builtinId="3"/>
    <cellStyle name="Milliers 2" xfId="10"/>
    <cellStyle name="Milliers 3" xfId="13"/>
    <cellStyle name="Monétaire" xfId="1" builtinId="4"/>
    <cellStyle name="Monétaire 2" xfId="6"/>
    <cellStyle name="Monétaire 2 2" xfId="14"/>
    <cellStyle name="Monétaire 3" xfId="12"/>
    <cellStyle name="Normal" xfId="0" builtinId="0"/>
    <cellStyle name="Normal 2" xfId="8"/>
    <cellStyle name="Normal 2 2 2" xfId="2"/>
    <cellStyle name="Normal 3" xfId="11"/>
    <cellStyle name="Pourcentage" xfId="16" builtinId="5"/>
    <cellStyle name="Pourcentage 2 2" xfId="9"/>
  </cellStyles>
  <dxfs count="0"/>
  <tableStyles count="0" defaultTableStyle="TableStyleMedium2" defaultPivotStyle="PivotStyleLight16"/>
  <colors>
    <mruColors>
      <color rgb="FFC787B3"/>
      <color rgb="FFCC90B9"/>
      <color rgb="FFD5A3C6"/>
      <color rgb="FFDDB5D1"/>
      <color rgb="FFE6C8DD"/>
      <color rgb="FFEEDAE8"/>
      <color rgb="FFF3E5EF"/>
      <color rgb="FFF5E3F0"/>
      <color rgb="FFE9D6FA"/>
      <color rgb="FFB675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64422</xdr:colOff>
      <xdr:row>3</xdr:row>
      <xdr:rowOff>5127</xdr:rowOff>
    </xdr:from>
    <xdr:to>
      <xdr:col>5</xdr:col>
      <xdr:colOff>997986</xdr:colOff>
      <xdr:row>7</xdr:row>
      <xdr:rowOff>161367</xdr:rowOff>
    </xdr:to>
    <xdr:pic>
      <xdr:nvPicPr>
        <xdr:cNvPr id="11" name="Imag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6515" b="15595"/>
        <a:stretch/>
      </xdr:blipFill>
      <xdr:spPr bwMode="auto">
        <a:xfrm>
          <a:off x="342328" y="525080"/>
          <a:ext cx="2556176" cy="89134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2" name="AutoShape 1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7</xdr:col>
      <xdr:colOff>0</xdr:colOff>
      <xdr:row>8</xdr:row>
      <xdr:rowOff>0</xdr:rowOff>
    </xdr:from>
    <xdr:to>
      <xdr:col>7</xdr:col>
      <xdr:colOff>304800</xdr:colOff>
      <xdr:row>9</xdr:row>
      <xdr:rowOff>194220</xdr:rowOff>
    </xdr:to>
    <xdr:sp macro="" textlink="">
      <xdr:nvSpPr>
        <xdr:cNvPr id="3" name="AutoShape 2" descr="Résultat de recherche d'images pour &quot;ensemble scolaire fénelon-la trinité lyon&quot;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spect="1" noChangeArrowheads="1"/>
        </xdr:cNvSpPr>
      </xdr:nvSpPr>
      <xdr:spPr bwMode="auto">
        <a:xfrm>
          <a:off x="2727960" y="914400"/>
          <a:ext cx="304800" cy="29817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3</xdr:col>
      <xdr:colOff>145246</xdr:colOff>
      <xdr:row>17</xdr:row>
      <xdr:rowOff>37540</xdr:rowOff>
    </xdr:from>
    <xdr:to>
      <xdr:col>5</xdr:col>
      <xdr:colOff>813426</xdr:colOff>
      <xdr:row>21</xdr:row>
      <xdr:rowOff>21030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0675" y="6873769"/>
          <a:ext cx="2126865" cy="76726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3</xdr:col>
      <xdr:colOff>1667437</xdr:colOff>
      <xdr:row>23</xdr:row>
      <xdr:rowOff>36684</xdr:rowOff>
    </xdr:from>
    <xdr:to>
      <xdr:col>5</xdr:col>
      <xdr:colOff>306979</xdr:colOff>
      <xdr:row>28</xdr:row>
      <xdr:rowOff>64096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7766" y="7226378"/>
          <a:ext cx="1039906" cy="10314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extant63@sextant-architecture.comT%20:%2004%2073%2090%2083%2029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C2:M29"/>
  <sheetViews>
    <sheetView tabSelected="1" view="pageBreakPreview" topLeftCell="A7" zoomScale="85" zoomScaleNormal="85" zoomScaleSheetLayoutView="85" workbookViewId="0">
      <selection activeCell="O15" sqref="O15"/>
    </sheetView>
  </sheetViews>
  <sheetFormatPr baseColWidth="10" defaultRowHeight="14.4"/>
  <cols>
    <col min="1" max="1" width="2.5546875" customWidth="1"/>
    <col min="2" max="2" width="1.44140625" customWidth="1"/>
    <col min="3" max="3" width="2.44140625" customWidth="1"/>
    <col min="4" max="5" width="10.5546875" customWidth="1"/>
    <col min="6" max="7" width="14.88671875" customWidth="1"/>
    <col min="8" max="8" width="38" customWidth="1"/>
    <col min="9" max="9" width="5.44140625" customWidth="1"/>
    <col min="10" max="10" width="1.44140625" customWidth="1"/>
    <col min="12" max="23" width="11.5546875" customWidth="1"/>
  </cols>
  <sheetData>
    <row r="2" spans="3:13" ht="15" thickBot="1"/>
    <row r="3" spans="3:13" ht="12" customHeight="1">
      <c r="C3" s="480"/>
      <c r="D3" s="11"/>
      <c r="E3" s="4"/>
      <c r="F3" s="4"/>
      <c r="G3" s="4"/>
      <c r="H3" s="10"/>
      <c r="I3" s="483" t="s">
        <v>13</v>
      </c>
    </row>
    <row r="4" spans="3:13">
      <c r="C4" s="481"/>
      <c r="D4" s="12"/>
      <c r="E4" s="5"/>
      <c r="F4" s="5"/>
      <c r="G4" s="477" t="s">
        <v>26</v>
      </c>
      <c r="H4" s="477"/>
      <c r="I4" s="484"/>
      <c r="L4" s="6"/>
    </row>
    <row r="5" spans="3:13">
      <c r="C5" s="481"/>
      <c r="D5" s="12"/>
      <c r="E5" s="5"/>
      <c r="F5" s="5"/>
      <c r="G5" s="477" t="s">
        <v>29</v>
      </c>
      <c r="H5" s="477"/>
      <c r="I5" s="484"/>
      <c r="L5" s="6"/>
    </row>
    <row r="6" spans="3:13" ht="15" customHeight="1">
      <c r="C6" s="481"/>
      <c r="D6" s="12"/>
      <c r="E6" s="5"/>
      <c r="F6" s="5"/>
      <c r="G6" s="478" t="s">
        <v>27</v>
      </c>
      <c r="H6" s="478"/>
      <c r="I6" s="484"/>
      <c r="L6" s="6"/>
    </row>
    <row r="7" spans="3:13" ht="15" customHeight="1">
      <c r="C7" s="481"/>
      <c r="D7" s="12"/>
      <c r="E7" s="5"/>
      <c r="F7" s="5"/>
      <c r="G7" s="478" t="s">
        <v>28</v>
      </c>
      <c r="H7" s="478"/>
      <c r="I7" s="484"/>
      <c r="L7" s="6"/>
    </row>
    <row r="8" spans="3:13" ht="15" customHeight="1">
      <c r="C8" s="481"/>
      <c r="D8" s="12"/>
      <c r="E8" s="5"/>
      <c r="F8" s="5"/>
      <c r="G8" s="479" t="s">
        <v>366</v>
      </c>
      <c r="H8" s="479"/>
      <c r="I8" s="484"/>
      <c r="L8" s="7"/>
      <c r="M8" s="6"/>
    </row>
    <row r="9" spans="3:13" ht="9.6" customHeight="1" thickBot="1">
      <c r="C9" s="482"/>
      <c r="D9" s="13"/>
      <c r="E9" s="8"/>
      <c r="F9" s="8"/>
      <c r="G9" s="8"/>
      <c r="H9" s="9"/>
      <c r="I9" s="485"/>
      <c r="M9" s="6"/>
    </row>
    <row r="10" spans="3:13" ht="18" customHeight="1" thickBot="1"/>
    <row r="11" spans="3:13" ht="227.4" customHeight="1" thickBot="1">
      <c r="C11" s="489" t="s">
        <v>41</v>
      </c>
      <c r="D11" s="490"/>
      <c r="E11" s="490"/>
      <c r="F11" s="490"/>
      <c r="G11" s="490"/>
      <c r="H11" s="490"/>
      <c r="I11" s="491"/>
    </row>
    <row r="12" spans="3:13" ht="18" customHeight="1" thickBot="1"/>
    <row r="13" spans="3:13" ht="41.4" customHeight="1">
      <c r="C13" s="492" t="s">
        <v>1109</v>
      </c>
      <c r="D13" s="493"/>
      <c r="E13" s="493"/>
      <c r="F13" s="493"/>
      <c r="G13" s="493"/>
      <c r="H13" s="493"/>
      <c r="I13" s="494"/>
    </row>
    <row r="14" spans="3:13" ht="41.4" customHeight="1">
      <c r="C14" s="495"/>
      <c r="D14" s="496"/>
      <c r="E14" s="496"/>
      <c r="F14" s="496"/>
      <c r="G14" s="496"/>
      <c r="H14" s="496"/>
      <c r="I14" s="497"/>
    </row>
    <row r="15" spans="3:13" ht="41.4" customHeight="1" thickBot="1">
      <c r="C15" s="486" t="s">
        <v>1110</v>
      </c>
      <c r="D15" s="487"/>
      <c r="E15" s="487"/>
      <c r="F15" s="487"/>
      <c r="G15" s="487"/>
      <c r="H15" s="487"/>
      <c r="I15" s="488"/>
    </row>
    <row r="16" spans="3:13" ht="18" customHeight="1" thickBot="1"/>
    <row r="17" spans="3:9" ht="6.75" customHeight="1">
      <c r="C17" s="480"/>
      <c r="D17" s="11"/>
      <c r="E17" s="4"/>
      <c r="F17" s="4"/>
      <c r="G17" s="4"/>
      <c r="H17" s="10"/>
      <c r="I17" s="483" t="s">
        <v>14</v>
      </c>
    </row>
    <row r="18" spans="3:9" ht="15" customHeight="1">
      <c r="C18" s="481"/>
      <c r="D18" s="12"/>
      <c r="E18" s="5"/>
      <c r="F18" s="5"/>
      <c r="G18" s="498" t="s">
        <v>15</v>
      </c>
      <c r="H18" s="498"/>
      <c r="I18" s="484"/>
    </row>
    <row r="19" spans="3:9" ht="15" customHeight="1">
      <c r="C19" s="481"/>
      <c r="D19" s="12"/>
      <c r="E19" s="5"/>
      <c r="F19" s="5"/>
      <c r="G19" s="499" t="s">
        <v>16</v>
      </c>
      <c r="H19" s="499"/>
      <c r="I19" s="484"/>
    </row>
    <row r="20" spans="3:9" ht="15" customHeight="1">
      <c r="C20" s="481"/>
      <c r="D20" s="12"/>
      <c r="E20" s="5"/>
      <c r="F20" s="5"/>
      <c r="G20" s="499" t="s">
        <v>17</v>
      </c>
      <c r="H20" s="499"/>
      <c r="I20" s="484"/>
    </row>
    <row r="21" spans="3:9" ht="15" customHeight="1">
      <c r="C21" s="481"/>
      <c r="D21" s="12"/>
      <c r="E21" s="5"/>
      <c r="F21" s="5"/>
      <c r="G21" s="499" t="s">
        <v>365</v>
      </c>
      <c r="H21" s="499"/>
      <c r="I21" s="484"/>
    </row>
    <row r="22" spans="3:9" ht="8.25" customHeight="1" thickBot="1">
      <c r="C22" s="482"/>
      <c r="D22" s="13"/>
      <c r="E22" s="8"/>
      <c r="F22" s="8"/>
      <c r="G22" s="8"/>
      <c r="H22" s="9"/>
      <c r="I22" s="485"/>
    </row>
    <row r="23" spans="3:9" ht="18" customHeight="1" thickBot="1"/>
    <row r="24" spans="3:9" ht="6.75" customHeight="1">
      <c r="C24" s="480"/>
      <c r="D24" s="11"/>
      <c r="E24" s="4"/>
      <c r="F24" s="4"/>
      <c r="G24" s="4"/>
      <c r="H24" s="10"/>
      <c r="I24" s="483" t="s">
        <v>18</v>
      </c>
    </row>
    <row r="25" spans="3:9" ht="15" customHeight="1">
      <c r="C25" s="481"/>
      <c r="D25" s="12"/>
      <c r="E25" s="5"/>
      <c r="F25" s="5"/>
      <c r="G25" s="498" t="s">
        <v>23</v>
      </c>
      <c r="H25" s="498"/>
      <c r="I25" s="484"/>
    </row>
    <row r="26" spans="3:9" ht="15" customHeight="1">
      <c r="C26" s="481"/>
      <c r="D26" s="12"/>
      <c r="E26" s="5"/>
      <c r="F26" s="5"/>
      <c r="G26" s="499" t="s">
        <v>24</v>
      </c>
      <c r="H26" s="499"/>
      <c r="I26" s="484"/>
    </row>
    <row r="27" spans="3:9" ht="15" customHeight="1">
      <c r="C27" s="481"/>
      <c r="D27" s="12"/>
      <c r="E27" s="5"/>
      <c r="F27" s="5"/>
      <c r="G27" s="499" t="s">
        <v>25</v>
      </c>
      <c r="H27" s="499"/>
      <c r="I27" s="484"/>
    </row>
    <row r="28" spans="3:9" ht="28.2" customHeight="1">
      <c r="C28" s="481"/>
      <c r="D28" s="12"/>
      <c r="E28" s="5"/>
      <c r="F28" s="5"/>
      <c r="G28" s="476" t="s">
        <v>364</v>
      </c>
      <c r="H28" s="476"/>
      <c r="I28" s="484"/>
    </row>
    <row r="29" spans="3:9" ht="8.25" customHeight="1" thickBot="1">
      <c r="C29" s="482"/>
      <c r="D29" s="13"/>
      <c r="E29" s="8"/>
      <c r="F29" s="8"/>
      <c r="G29" s="75"/>
      <c r="H29" s="9"/>
      <c r="I29" s="485"/>
    </row>
  </sheetData>
  <mergeCells count="22">
    <mergeCell ref="C3:C9"/>
    <mergeCell ref="I3:I9"/>
    <mergeCell ref="C15:I15"/>
    <mergeCell ref="C24:C29"/>
    <mergeCell ref="I24:I29"/>
    <mergeCell ref="C11:I11"/>
    <mergeCell ref="C13:I14"/>
    <mergeCell ref="C17:C22"/>
    <mergeCell ref="I17:I22"/>
    <mergeCell ref="G18:H18"/>
    <mergeCell ref="G19:H19"/>
    <mergeCell ref="G20:H20"/>
    <mergeCell ref="G21:H21"/>
    <mergeCell ref="G25:H25"/>
    <mergeCell ref="G26:H26"/>
    <mergeCell ref="G27:H27"/>
    <mergeCell ref="G28:H28"/>
    <mergeCell ref="G4:H4"/>
    <mergeCell ref="G5:H5"/>
    <mergeCell ref="G6:H6"/>
    <mergeCell ref="G7:H7"/>
    <mergeCell ref="G8:H8"/>
  </mergeCells>
  <hyperlinks>
    <hyperlink ref="G28" r:id="rId1"/>
  </hyperlinks>
  <printOptions horizontalCentered="1" verticalCentered="1"/>
  <pageMargins left="0.25" right="0.25" top="0.75" bottom="0.75" header="0.3" footer="0.3"/>
  <pageSetup paperSize="9" scale="99" fitToHeight="0" orientation="portrait" r:id="rId2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AB19"/>
  <sheetViews>
    <sheetView showGridLines="0" view="pageBreakPreview" zoomScale="70" zoomScaleNormal="85" zoomScaleSheetLayoutView="70" workbookViewId="0">
      <pane ySplit="5" topLeftCell="A6" activePane="bottomLeft" state="frozen"/>
      <selection activeCell="C15" sqref="C15:I15"/>
      <selection pane="bottomLeft" activeCell="N42" sqref="N42"/>
    </sheetView>
  </sheetViews>
  <sheetFormatPr baseColWidth="10" defaultColWidth="11.44140625" defaultRowHeight="14.4"/>
  <cols>
    <col min="1" max="1" width="3.33203125" style="2" customWidth="1"/>
    <col min="2" max="2" width="2.6640625" style="3" bestFit="1" customWidth="1"/>
    <col min="3" max="3" width="55.6640625" style="24" customWidth="1"/>
    <col min="4" max="4" width="4.5546875" style="1" bestFit="1" customWidth="1"/>
    <col min="5" max="5" width="7.88671875" style="1" customWidth="1"/>
    <col min="6" max="6" width="12" style="1" bestFit="1" customWidth="1"/>
    <col min="7" max="7" width="14.5546875" style="1" bestFit="1" customWidth="1"/>
    <col min="8" max="8" width="2.6640625" style="1" customWidth="1"/>
    <col min="9" max="9" width="7.5546875" style="1" bestFit="1" customWidth="1"/>
    <col min="10" max="10" width="12" style="1" bestFit="1" customWidth="1"/>
    <col min="11" max="11" width="14.5546875" style="1" customWidth="1"/>
    <col min="12" max="12" width="2.6640625" style="1" customWidth="1"/>
    <col min="13" max="13" width="7.5546875" style="1" bestFit="1" customWidth="1"/>
    <col min="14" max="14" width="12" style="1" bestFit="1" customWidth="1"/>
    <col min="15" max="15" width="14.44140625" style="1" bestFit="1" customWidth="1"/>
    <col min="16" max="16" width="2.6640625" style="1" customWidth="1"/>
    <col min="17" max="17" width="7.5546875" style="1" bestFit="1" customWidth="1"/>
    <col min="18" max="18" width="12" style="1" bestFit="1" customWidth="1"/>
    <col min="19" max="19" width="14.44140625" style="1" bestFit="1" customWidth="1"/>
    <col min="20" max="20" width="2.6640625" style="1" customWidth="1"/>
    <col min="21" max="21" width="7.5546875" style="1" bestFit="1" customWidth="1"/>
    <col min="22" max="22" width="12" style="1" bestFit="1" customWidth="1"/>
    <col min="23" max="23" width="14.44140625" style="1" bestFit="1" customWidth="1"/>
    <col min="24" max="24" width="2.6640625" style="1" customWidth="1"/>
    <col min="25" max="25" width="7.5546875" style="1" bestFit="1" customWidth="1"/>
    <col min="26" max="26" width="12" style="1" bestFit="1" customWidth="1"/>
    <col min="27" max="27" width="14.44140625" style="1" bestFit="1" customWidth="1"/>
    <col min="28" max="28" width="4.109375" style="1" customWidth="1"/>
    <col min="29" max="29" width="12.109375" style="1" bestFit="1" customWidth="1"/>
    <col min="30" max="30" width="11.44140625" style="1"/>
    <col min="31" max="31" width="15" style="1" customWidth="1"/>
    <col min="32" max="16384" width="11.44140625" style="1"/>
  </cols>
  <sheetData>
    <row r="1" spans="1:28" ht="23.25" customHeight="1">
      <c r="A1" s="566" t="s">
        <v>40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8"/>
    </row>
    <row r="2" spans="1:28" ht="8.4" customHeight="1">
      <c r="A2" s="15"/>
      <c r="C2" s="3"/>
      <c r="D2" s="3"/>
      <c r="E2" s="3"/>
      <c r="F2" s="3"/>
      <c r="G2" s="2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23"/>
    </row>
    <row r="3" spans="1:28" ht="19.5" customHeight="1">
      <c r="A3" s="16"/>
      <c r="C3" s="203" t="str">
        <f>'Page de garde'!C15</f>
        <v>IND 00 du 10/06/2025</v>
      </c>
      <c r="E3" s="569" t="s">
        <v>12</v>
      </c>
      <c r="F3" s="570"/>
      <c r="G3" s="571"/>
      <c r="I3" s="572" t="s">
        <v>30</v>
      </c>
      <c r="J3" s="573"/>
      <c r="K3" s="574"/>
      <c r="M3" s="572" t="s">
        <v>31</v>
      </c>
      <c r="N3" s="573"/>
      <c r="O3" s="574"/>
      <c r="Q3" s="572" t="s">
        <v>33</v>
      </c>
      <c r="R3" s="573"/>
      <c r="S3" s="574"/>
      <c r="U3" s="572" t="s">
        <v>34</v>
      </c>
      <c r="V3" s="573"/>
      <c r="W3" s="574"/>
      <c r="Y3" s="572" t="s">
        <v>35</v>
      </c>
      <c r="Z3" s="573"/>
      <c r="AA3" s="574"/>
    </row>
    <row r="4" spans="1:28" ht="19.5" customHeight="1">
      <c r="A4" s="16"/>
      <c r="E4" s="76"/>
      <c r="F4" s="77"/>
      <c r="G4" s="78" t="s">
        <v>11</v>
      </c>
      <c r="I4" s="57"/>
      <c r="J4" s="58"/>
      <c r="K4" s="59" t="s">
        <v>11</v>
      </c>
      <c r="M4" s="60"/>
      <c r="N4" s="58"/>
      <c r="O4" s="59" t="s">
        <v>11</v>
      </c>
      <c r="Q4" s="60"/>
      <c r="R4" s="58"/>
      <c r="S4" s="59" t="s">
        <v>11</v>
      </c>
      <c r="U4" s="60"/>
      <c r="V4" s="58"/>
      <c r="W4" s="59" t="s">
        <v>11</v>
      </c>
      <c r="Y4" s="60"/>
      <c r="Z4" s="58"/>
      <c r="AA4" s="59" t="s">
        <v>11</v>
      </c>
    </row>
    <row r="5" spans="1:28" s="17" customFormat="1" ht="24">
      <c r="A5" s="565" t="s">
        <v>1</v>
      </c>
      <c r="B5" s="565"/>
      <c r="C5" s="25" t="s">
        <v>2</v>
      </c>
      <c r="D5" s="18" t="s">
        <v>0</v>
      </c>
      <c r="E5" s="79" t="s">
        <v>3</v>
      </c>
      <c r="F5" s="79" t="s">
        <v>4</v>
      </c>
      <c r="G5" s="79" t="s">
        <v>5</v>
      </c>
      <c r="H5" s="18"/>
      <c r="I5" s="19" t="s">
        <v>3</v>
      </c>
      <c r="J5" s="19" t="s">
        <v>4</v>
      </c>
      <c r="K5" s="19" t="s">
        <v>5</v>
      </c>
      <c r="L5" s="20"/>
      <c r="M5" s="19" t="s">
        <v>3</v>
      </c>
      <c r="N5" s="19" t="s">
        <v>4</v>
      </c>
      <c r="O5" s="19" t="s">
        <v>5</v>
      </c>
      <c r="P5" s="20"/>
      <c r="Q5" s="19" t="s">
        <v>3</v>
      </c>
      <c r="R5" s="19" t="s">
        <v>4</v>
      </c>
      <c r="S5" s="19" t="s">
        <v>5</v>
      </c>
      <c r="T5" s="20"/>
      <c r="U5" s="19" t="s">
        <v>3</v>
      </c>
      <c r="V5" s="19" t="s">
        <v>4</v>
      </c>
      <c r="W5" s="19" t="s">
        <v>5</v>
      </c>
      <c r="X5" s="20"/>
      <c r="Y5" s="19" t="s">
        <v>3</v>
      </c>
      <c r="Z5" s="19" t="s">
        <v>4</v>
      </c>
      <c r="AA5" s="19" t="s">
        <v>5</v>
      </c>
    </row>
    <row r="6" spans="1:28">
      <c r="A6" s="61"/>
      <c r="B6" s="62" t="s">
        <v>19</v>
      </c>
      <c r="C6" s="63" t="s">
        <v>44</v>
      </c>
      <c r="D6" s="64"/>
      <c r="E6" s="65"/>
      <c r="F6" s="66"/>
      <c r="G6" s="66"/>
      <c r="H6" s="64"/>
      <c r="I6" s="65"/>
      <c r="J6" s="66"/>
      <c r="K6" s="66"/>
      <c r="L6" s="26"/>
      <c r="M6" s="65"/>
      <c r="N6" s="66"/>
      <c r="O6" s="66"/>
      <c r="P6" s="26"/>
      <c r="Q6" s="65"/>
      <c r="R6" s="66"/>
      <c r="S6" s="66"/>
      <c r="T6" s="26"/>
      <c r="U6" s="65"/>
      <c r="V6" s="66"/>
      <c r="W6" s="66"/>
      <c r="X6" s="26"/>
      <c r="Y6" s="65"/>
      <c r="Z6" s="66"/>
      <c r="AA6" s="66"/>
    </row>
    <row r="7" spans="1:28">
      <c r="A7" s="14"/>
      <c r="B7" s="31"/>
      <c r="C7" s="28" t="s">
        <v>45</v>
      </c>
      <c r="D7" s="67" t="s">
        <v>6</v>
      </c>
      <c r="E7" s="29">
        <f>I7+M7+Q7+U7+Y7</f>
        <v>1</v>
      </c>
      <c r="F7" s="32">
        <v>7500</v>
      </c>
      <c r="G7" s="32">
        <f>K7+O7+S7+W7+AA7</f>
        <v>7500</v>
      </c>
      <c r="H7" s="67"/>
      <c r="I7" s="29">
        <v>0</v>
      </c>
      <c r="J7" s="32">
        <f>F7</f>
        <v>7500</v>
      </c>
      <c r="K7" s="32">
        <f>I7*J7</f>
        <v>0</v>
      </c>
      <c r="M7" s="29">
        <v>0</v>
      </c>
      <c r="N7" s="32">
        <f>F7</f>
        <v>7500</v>
      </c>
      <c r="O7" s="32">
        <f>M7*N7</f>
        <v>0</v>
      </c>
      <c r="Q7" s="29">
        <v>0</v>
      </c>
      <c r="R7" s="32">
        <f>F7</f>
        <v>7500</v>
      </c>
      <c r="S7" s="32">
        <f>Q7*R7</f>
        <v>0</v>
      </c>
      <c r="U7" s="29">
        <v>1</v>
      </c>
      <c r="V7" s="32">
        <f>F7</f>
        <v>7500</v>
      </c>
      <c r="W7" s="32">
        <f>U7*V7</f>
        <v>7500</v>
      </c>
      <c r="Y7" s="29">
        <v>0</v>
      </c>
      <c r="Z7" s="32">
        <f>F7</f>
        <v>7500</v>
      </c>
      <c r="AA7" s="32">
        <f>Y7*Z7</f>
        <v>0</v>
      </c>
    </row>
    <row r="8" spans="1:28">
      <c r="A8" s="14"/>
      <c r="B8" s="31"/>
      <c r="C8" s="28" t="s">
        <v>46</v>
      </c>
      <c r="D8" s="67" t="s">
        <v>6</v>
      </c>
      <c r="E8" s="29">
        <f>I8+M8+Q8+U8+Y8</f>
        <v>1</v>
      </c>
      <c r="F8" s="32">
        <v>2500</v>
      </c>
      <c r="G8" s="32">
        <f>K8+O8+S8+W8+AA8</f>
        <v>2500</v>
      </c>
      <c r="H8" s="67"/>
      <c r="I8" s="29">
        <v>1</v>
      </c>
      <c r="J8" s="32">
        <f>F8</f>
        <v>2500</v>
      </c>
      <c r="K8" s="32">
        <f>I8*J8</f>
        <v>2500</v>
      </c>
      <c r="M8" s="29">
        <v>0</v>
      </c>
      <c r="N8" s="32">
        <f>F8</f>
        <v>2500</v>
      </c>
      <c r="O8" s="32">
        <f>M8*N8</f>
        <v>0</v>
      </c>
      <c r="Q8" s="29">
        <v>0</v>
      </c>
      <c r="R8" s="32">
        <f>F8</f>
        <v>2500</v>
      </c>
      <c r="S8" s="32">
        <f>Q8*R8</f>
        <v>0</v>
      </c>
      <c r="U8" s="29">
        <v>0</v>
      </c>
      <c r="V8" s="32">
        <f>F8</f>
        <v>2500</v>
      </c>
      <c r="W8" s="32">
        <f>U8*V8</f>
        <v>0</v>
      </c>
      <c r="Y8" s="29">
        <v>0</v>
      </c>
      <c r="Z8" s="32">
        <f>F8</f>
        <v>2500</v>
      </c>
      <c r="AA8" s="32">
        <f>Y8*Z8</f>
        <v>0</v>
      </c>
    </row>
    <row r="9" spans="1:28">
      <c r="A9" s="14"/>
      <c r="B9" s="31"/>
      <c r="C9" s="28" t="s">
        <v>47</v>
      </c>
      <c r="D9" s="67" t="s">
        <v>11</v>
      </c>
      <c r="E9" s="29">
        <f t="shared" ref="E9" si="0">I9+M9+Q9+U9+Y9</f>
        <v>1125</v>
      </c>
      <c r="F9" s="32">
        <v>25</v>
      </c>
      <c r="G9" s="32">
        <f t="shared" ref="G9" si="1">K9+O9+S9+W9+AA9</f>
        <v>28125</v>
      </c>
      <c r="H9" s="67"/>
      <c r="I9" s="29">
        <v>50</v>
      </c>
      <c r="J9" s="32">
        <f>F9</f>
        <v>25</v>
      </c>
      <c r="K9" s="32">
        <f>I9*J9</f>
        <v>1250</v>
      </c>
      <c r="M9" s="29">
        <v>240</v>
      </c>
      <c r="N9" s="32">
        <f>F9</f>
        <v>25</v>
      </c>
      <c r="O9" s="32">
        <f>M9*N9</f>
        <v>6000</v>
      </c>
      <c r="Q9" s="29">
        <v>305</v>
      </c>
      <c r="R9" s="32">
        <f>F9</f>
        <v>25</v>
      </c>
      <c r="S9" s="32">
        <f>Q9*R9</f>
        <v>7625</v>
      </c>
      <c r="U9" s="29">
        <v>400</v>
      </c>
      <c r="V9" s="32">
        <f>F9</f>
        <v>25</v>
      </c>
      <c r="W9" s="32">
        <f>U9*V9</f>
        <v>10000</v>
      </c>
      <c r="Y9" s="29">
        <v>130</v>
      </c>
      <c r="Z9" s="32">
        <f>F9</f>
        <v>25</v>
      </c>
      <c r="AA9" s="32">
        <f>Y9*Z9</f>
        <v>3250</v>
      </c>
      <c r="AB9" s="22"/>
    </row>
    <row r="10" spans="1:28">
      <c r="A10" s="14"/>
      <c r="B10" s="31"/>
      <c r="C10" s="28"/>
      <c r="D10" s="67"/>
      <c r="E10" s="29"/>
      <c r="F10" s="32"/>
      <c r="G10" s="32"/>
      <c r="H10" s="67"/>
      <c r="I10" s="29"/>
      <c r="J10" s="32"/>
      <c r="K10" s="32"/>
      <c r="M10" s="29"/>
      <c r="N10" s="32"/>
      <c r="O10" s="32"/>
      <c r="Q10" s="29"/>
      <c r="R10" s="32"/>
      <c r="S10" s="32"/>
      <c r="U10" s="29"/>
      <c r="V10" s="32"/>
      <c r="W10" s="32"/>
      <c r="Y10" s="29"/>
      <c r="Z10" s="32"/>
      <c r="AA10" s="32"/>
    </row>
    <row r="11" spans="1:28">
      <c r="A11" s="35"/>
      <c r="B11" s="27"/>
      <c r="C11" s="38" t="s">
        <v>61</v>
      </c>
      <c r="D11" s="68"/>
      <c r="E11" s="37"/>
      <c r="F11" s="33" t="s">
        <v>10</v>
      </c>
      <c r="G11" s="34">
        <f>K11+O11+S11+W11+AA11</f>
        <v>38125</v>
      </c>
      <c r="H11" s="68"/>
      <c r="I11" s="37"/>
      <c r="J11" s="33" t="s">
        <v>10</v>
      </c>
      <c r="K11" s="34">
        <f>SUM(K6:K10)</f>
        <v>3750</v>
      </c>
      <c r="M11" s="37"/>
      <c r="N11" s="33" t="s">
        <v>10</v>
      </c>
      <c r="O11" s="34">
        <f>SUM(O6:O10)</f>
        <v>6000</v>
      </c>
      <c r="Q11" s="37"/>
      <c r="R11" s="33" t="s">
        <v>10</v>
      </c>
      <c r="S11" s="34">
        <f>SUM(S6:S10)</f>
        <v>7625</v>
      </c>
      <c r="U11" s="37"/>
      <c r="V11" s="33" t="s">
        <v>10</v>
      </c>
      <c r="W11" s="34">
        <f>SUM(W6:W10)</f>
        <v>17500</v>
      </c>
      <c r="Y11" s="37"/>
      <c r="Z11" s="33" t="s">
        <v>10</v>
      </c>
      <c r="AA11" s="34">
        <f>SUM(AA6:AA10)</f>
        <v>3250</v>
      </c>
    </row>
    <row r="12" spans="1:28">
      <c r="A12" s="35"/>
      <c r="B12" s="27"/>
      <c r="C12" s="36"/>
      <c r="D12" s="68"/>
      <c r="E12" s="37"/>
      <c r="F12" s="33"/>
      <c r="G12" s="34"/>
      <c r="H12" s="68"/>
      <c r="I12" s="37"/>
      <c r="J12" s="33"/>
      <c r="K12" s="34"/>
      <c r="M12" s="37"/>
      <c r="N12" s="33"/>
      <c r="O12" s="34"/>
      <c r="Q12" s="37"/>
      <c r="R12" s="33"/>
      <c r="S12" s="34"/>
      <c r="U12" s="37"/>
      <c r="V12" s="33"/>
      <c r="W12" s="34"/>
      <c r="Y12" s="37"/>
      <c r="Z12" s="33"/>
      <c r="AA12" s="34"/>
    </row>
    <row r="13" spans="1:28">
      <c r="A13" s="14"/>
      <c r="B13" s="31"/>
      <c r="C13" s="38"/>
      <c r="D13" s="69"/>
      <c r="E13" s="37"/>
      <c r="F13" s="30"/>
      <c r="G13" s="34"/>
      <c r="H13" s="69"/>
      <c r="I13" s="37"/>
      <c r="J13" s="30"/>
      <c r="K13" s="34"/>
      <c r="M13" s="37"/>
      <c r="N13" s="30"/>
      <c r="O13" s="34"/>
      <c r="Q13" s="37"/>
      <c r="R13" s="30"/>
      <c r="S13" s="34"/>
      <c r="U13" s="37"/>
      <c r="V13" s="30"/>
      <c r="W13" s="34"/>
      <c r="Y13" s="37"/>
      <c r="Z13" s="30"/>
      <c r="AA13" s="34"/>
    </row>
    <row r="14" spans="1:28">
      <c r="A14" s="14"/>
      <c r="B14" s="31"/>
      <c r="C14" s="38"/>
      <c r="D14" s="69"/>
      <c r="E14" s="37"/>
      <c r="F14" s="30"/>
      <c r="G14" s="34"/>
      <c r="H14" s="69"/>
      <c r="I14" s="37"/>
      <c r="J14" s="30"/>
      <c r="K14" s="34"/>
      <c r="M14" s="37"/>
      <c r="N14" s="30"/>
      <c r="O14" s="34"/>
      <c r="Q14" s="37"/>
      <c r="R14" s="30"/>
      <c r="S14" s="34"/>
      <c r="U14" s="37"/>
      <c r="V14" s="30"/>
      <c r="W14" s="34"/>
      <c r="Y14" s="37"/>
      <c r="Z14" s="30"/>
      <c r="AA14" s="34"/>
    </row>
    <row r="15" spans="1:28" ht="6" customHeight="1">
      <c r="A15" s="70"/>
      <c r="B15" s="41"/>
      <c r="C15" s="42"/>
      <c r="D15" s="41"/>
      <c r="E15" s="41"/>
      <c r="F15" s="44"/>
      <c r="G15" s="44"/>
      <c r="H15" s="41"/>
      <c r="I15" s="43"/>
      <c r="J15" s="44"/>
      <c r="K15" s="44"/>
      <c r="L15" s="41"/>
      <c r="M15" s="43"/>
      <c r="N15" s="44"/>
      <c r="O15" s="44"/>
      <c r="P15" s="41"/>
      <c r="Q15" s="43"/>
      <c r="R15" s="44"/>
      <c r="S15" s="44"/>
      <c r="T15" s="41"/>
      <c r="U15" s="43"/>
      <c r="V15" s="44"/>
      <c r="W15" s="44"/>
      <c r="X15" s="41"/>
      <c r="Y15" s="43"/>
      <c r="Z15" s="44"/>
      <c r="AA15" s="44"/>
    </row>
    <row r="16" spans="1:28" s="56" customFormat="1">
      <c r="A16" s="71"/>
      <c r="B16" s="72"/>
      <c r="C16" s="53" t="s">
        <v>7</v>
      </c>
      <c r="D16" s="52"/>
      <c r="E16" s="52"/>
      <c r="F16" s="55"/>
      <c r="G16" s="55">
        <f>G11</f>
        <v>38125</v>
      </c>
      <c r="H16" s="52"/>
      <c r="I16" s="54"/>
      <c r="J16" s="55"/>
      <c r="K16" s="55">
        <f>K11</f>
        <v>3750</v>
      </c>
      <c r="L16" s="52"/>
      <c r="M16" s="54"/>
      <c r="N16" s="55"/>
      <c r="O16" s="55">
        <f>O11</f>
        <v>6000</v>
      </c>
      <c r="P16" s="52"/>
      <c r="Q16" s="54"/>
      <c r="R16" s="55"/>
      <c r="S16" s="55">
        <f>S11</f>
        <v>7625</v>
      </c>
      <c r="T16" s="52"/>
      <c r="U16" s="54"/>
      <c r="V16" s="55"/>
      <c r="W16" s="55">
        <f>W11</f>
        <v>17500</v>
      </c>
      <c r="X16" s="52"/>
      <c r="Y16" s="54"/>
      <c r="Z16" s="55"/>
      <c r="AA16" s="55">
        <f>AA11</f>
        <v>3250</v>
      </c>
    </row>
    <row r="17" spans="1:27" s="56" customFormat="1">
      <c r="A17" s="71"/>
      <c r="B17" s="72"/>
      <c r="C17" s="53" t="s">
        <v>8</v>
      </c>
      <c r="D17" s="52"/>
      <c r="E17" s="52"/>
      <c r="F17" s="55"/>
      <c r="G17" s="55">
        <f>G16*0.2</f>
        <v>7625</v>
      </c>
      <c r="H17" s="52"/>
      <c r="I17" s="54"/>
      <c r="J17" s="55"/>
      <c r="K17" s="55">
        <f>K16*0.2</f>
        <v>750</v>
      </c>
      <c r="L17" s="52"/>
      <c r="M17" s="54"/>
      <c r="N17" s="55"/>
      <c r="O17" s="55">
        <f>O16*0.2</f>
        <v>1200</v>
      </c>
      <c r="P17" s="52"/>
      <c r="Q17" s="54"/>
      <c r="R17" s="55"/>
      <c r="S17" s="55">
        <f>S16*0.2</f>
        <v>1525</v>
      </c>
      <c r="T17" s="52"/>
      <c r="U17" s="54"/>
      <c r="V17" s="55"/>
      <c r="W17" s="55">
        <f>W16*0.2</f>
        <v>3500</v>
      </c>
      <c r="X17" s="52"/>
      <c r="Y17" s="54"/>
      <c r="Z17" s="55"/>
      <c r="AA17" s="55">
        <f>AA16*0.2</f>
        <v>650</v>
      </c>
    </row>
    <row r="18" spans="1:27" s="56" customFormat="1">
      <c r="A18" s="71"/>
      <c r="B18" s="72"/>
      <c r="C18" s="53" t="s">
        <v>9</v>
      </c>
      <c r="D18" s="52"/>
      <c r="E18" s="52"/>
      <c r="F18" s="55"/>
      <c r="G18" s="55">
        <f>G17+G16</f>
        <v>45750</v>
      </c>
      <c r="H18" s="52"/>
      <c r="I18" s="54"/>
      <c r="J18" s="55"/>
      <c r="K18" s="55">
        <f>K17+K16</f>
        <v>4500</v>
      </c>
      <c r="L18" s="52"/>
      <c r="M18" s="54"/>
      <c r="N18" s="55"/>
      <c r="O18" s="55">
        <f>O17+O16</f>
        <v>7200</v>
      </c>
      <c r="P18" s="52"/>
      <c r="Q18" s="54"/>
      <c r="R18" s="55"/>
      <c r="S18" s="55">
        <f>S17+S16</f>
        <v>9150</v>
      </c>
      <c r="T18" s="52"/>
      <c r="U18" s="54"/>
      <c r="V18" s="55"/>
      <c r="W18" s="55">
        <f>W17+W16</f>
        <v>21000</v>
      </c>
      <c r="X18" s="52"/>
      <c r="Y18" s="54"/>
      <c r="Z18" s="55"/>
      <c r="AA18" s="55">
        <f>AA17+AA16</f>
        <v>3900</v>
      </c>
    </row>
    <row r="19" spans="1:27" ht="6.6" customHeight="1">
      <c r="A19" s="73"/>
      <c r="B19" s="74"/>
      <c r="C19" s="45"/>
      <c r="D19" s="46"/>
      <c r="E19" s="51"/>
      <c r="F19" s="48"/>
      <c r="G19" s="48"/>
      <c r="H19" s="46"/>
      <c r="I19" s="47"/>
      <c r="J19" s="48"/>
      <c r="K19" s="48"/>
      <c r="L19" s="49"/>
      <c r="M19" s="50"/>
      <c r="N19" s="48"/>
      <c r="O19" s="48"/>
      <c r="P19" s="49"/>
      <c r="Q19" s="50"/>
      <c r="R19" s="48"/>
      <c r="S19" s="48"/>
      <c r="T19" s="49"/>
      <c r="U19" s="50"/>
      <c r="V19" s="48"/>
      <c r="W19" s="48"/>
      <c r="X19" s="49"/>
      <c r="Y19" s="50"/>
      <c r="Z19" s="48"/>
      <c r="AA19" s="48"/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AE61"/>
  <sheetViews>
    <sheetView showGridLines="0" view="pageBreakPreview" zoomScale="70" zoomScaleNormal="85" zoomScaleSheetLayoutView="70" workbookViewId="0">
      <pane ySplit="5" topLeftCell="A6" activePane="bottomLeft" state="frozen"/>
      <selection activeCell="C15" sqref="C15:I15"/>
      <selection pane="bottomLeft" activeCell="G58" sqref="G58"/>
    </sheetView>
  </sheetViews>
  <sheetFormatPr baseColWidth="10" defaultColWidth="11.44140625" defaultRowHeight="14.4"/>
  <cols>
    <col min="1" max="1" width="3.33203125" style="2" customWidth="1"/>
    <col min="2" max="2" width="2.6640625" style="3" bestFit="1" customWidth="1"/>
    <col min="3" max="3" width="59.109375" style="24" customWidth="1"/>
    <col min="4" max="4" width="4.5546875" style="1" bestFit="1" customWidth="1"/>
    <col min="5" max="5" width="7.88671875" style="1" customWidth="1"/>
    <col min="6" max="6" width="12" style="1" bestFit="1" customWidth="1"/>
    <col min="7" max="7" width="14.5546875" style="1" bestFit="1" customWidth="1"/>
    <col min="8" max="8" width="2.6640625" style="1" customWidth="1"/>
    <col min="9" max="9" width="7.5546875" style="1" bestFit="1" customWidth="1"/>
    <col min="10" max="10" width="11.44140625" style="1" bestFit="1" customWidth="1"/>
    <col min="11" max="11" width="14.5546875" style="1" customWidth="1"/>
    <col min="12" max="12" width="2.6640625" style="1" customWidth="1"/>
    <col min="13" max="13" width="7.5546875" style="1" bestFit="1" customWidth="1"/>
    <col min="14" max="14" width="11.44140625" style="1" bestFit="1" customWidth="1"/>
    <col min="15" max="15" width="14.44140625" style="1" bestFit="1" customWidth="1"/>
    <col min="16" max="16" width="2.6640625" style="1" customWidth="1"/>
    <col min="17" max="17" width="7.5546875" style="1" bestFit="1" customWidth="1"/>
    <col min="18" max="18" width="11.44140625" style="1" bestFit="1" customWidth="1"/>
    <col min="19" max="19" width="14.44140625" style="1" bestFit="1" customWidth="1"/>
    <col min="20" max="20" width="2.6640625" style="1" customWidth="1"/>
    <col min="21" max="21" width="7.5546875" style="1" bestFit="1" customWidth="1"/>
    <col min="22" max="22" width="11.44140625" style="1" bestFit="1" customWidth="1"/>
    <col min="23" max="23" width="14.44140625" style="1" bestFit="1" customWidth="1"/>
    <col min="24" max="24" width="2.6640625" style="1" customWidth="1"/>
    <col min="25" max="25" width="7.5546875" style="1" bestFit="1" customWidth="1"/>
    <col min="26" max="26" width="11.44140625" style="1" bestFit="1" customWidth="1"/>
    <col min="27" max="27" width="14.44140625" style="1" bestFit="1" customWidth="1"/>
    <col min="28" max="28" width="14.5546875" style="1" bestFit="1" customWidth="1"/>
    <col min="29" max="29" width="12.109375" style="1" bestFit="1" customWidth="1"/>
    <col min="30" max="30" width="11.44140625" style="1"/>
    <col min="31" max="31" width="15" style="1" customWidth="1"/>
    <col min="32" max="16384" width="11.44140625" style="1"/>
  </cols>
  <sheetData>
    <row r="1" spans="1:27" ht="23.25" customHeight="1">
      <c r="A1" s="566" t="s">
        <v>796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8"/>
    </row>
    <row r="2" spans="1:27" ht="8.4" customHeight="1">
      <c r="A2" s="15"/>
      <c r="C2" s="3"/>
      <c r="D2" s="3"/>
      <c r="E2" s="3"/>
      <c r="F2" s="3"/>
      <c r="G2" s="2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23"/>
    </row>
    <row r="3" spans="1:27" ht="19.5" customHeight="1">
      <c r="A3" s="16"/>
      <c r="C3" s="203" t="str">
        <f>'Page de garde'!C15</f>
        <v>IND 00 du 10/06/2025</v>
      </c>
      <c r="E3" s="569" t="s">
        <v>12</v>
      </c>
      <c r="F3" s="570"/>
      <c r="G3" s="571"/>
      <c r="I3" s="572" t="s">
        <v>30</v>
      </c>
      <c r="J3" s="573"/>
      <c r="K3" s="574"/>
      <c r="M3" s="572" t="s">
        <v>31</v>
      </c>
      <c r="N3" s="573"/>
      <c r="O3" s="574"/>
      <c r="Q3" s="572" t="s">
        <v>33</v>
      </c>
      <c r="R3" s="573"/>
      <c r="S3" s="574"/>
      <c r="U3" s="572" t="s">
        <v>34</v>
      </c>
      <c r="V3" s="573"/>
      <c r="W3" s="574"/>
      <c r="Y3" s="572" t="s">
        <v>35</v>
      </c>
      <c r="Z3" s="573"/>
      <c r="AA3" s="574"/>
    </row>
    <row r="4" spans="1:27" ht="19.5" customHeight="1">
      <c r="A4" s="16"/>
      <c r="E4" s="76"/>
      <c r="F4" s="77"/>
      <c r="G4" s="78" t="s">
        <v>11</v>
      </c>
      <c r="I4" s="57"/>
      <c r="J4" s="58"/>
      <c r="K4" s="59" t="s">
        <v>11</v>
      </c>
      <c r="M4" s="60"/>
      <c r="N4" s="58"/>
      <c r="O4" s="59" t="s">
        <v>11</v>
      </c>
      <c r="Q4" s="60"/>
      <c r="R4" s="58"/>
      <c r="S4" s="59" t="s">
        <v>11</v>
      </c>
      <c r="U4" s="60"/>
      <c r="V4" s="58"/>
      <c r="W4" s="59" t="s">
        <v>11</v>
      </c>
      <c r="Y4" s="60"/>
      <c r="Z4" s="58"/>
      <c r="AA4" s="59" t="s">
        <v>11</v>
      </c>
    </row>
    <row r="5" spans="1:27" s="17" customFormat="1" ht="24">
      <c r="A5" s="565" t="s">
        <v>1</v>
      </c>
      <c r="B5" s="565"/>
      <c r="C5" s="25" t="s">
        <v>2</v>
      </c>
      <c r="D5" s="18" t="s">
        <v>0</v>
      </c>
      <c r="E5" s="79" t="s">
        <v>3</v>
      </c>
      <c r="F5" s="79" t="s">
        <v>4</v>
      </c>
      <c r="G5" s="79" t="s">
        <v>5</v>
      </c>
      <c r="H5" s="18"/>
      <c r="I5" s="19" t="s">
        <v>3</v>
      </c>
      <c r="J5" s="19" t="s">
        <v>4</v>
      </c>
      <c r="K5" s="19" t="s">
        <v>5</v>
      </c>
      <c r="L5" s="20"/>
      <c r="M5" s="19" t="s">
        <v>3</v>
      </c>
      <c r="N5" s="19" t="s">
        <v>4</v>
      </c>
      <c r="O5" s="19" t="s">
        <v>5</v>
      </c>
      <c r="P5" s="20"/>
      <c r="Q5" s="19" t="s">
        <v>3</v>
      </c>
      <c r="R5" s="19" t="s">
        <v>4</v>
      </c>
      <c r="S5" s="19" t="s">
        <v>5</v>
      </c>
      <c r="T5" s="20"/>
      <c r="U5" s="19" t="s">
        <v>3</v>
      </c>
      <c r="V5" s="19" t="s">
        <v>4</v>
      </c>
      <c r="W5" s="19" t="s">
        <v>5</v>
      </c>
      <c r="X5" s="20"/>
      <c r="Y5" s="19" t="s">
        <v>3</v>
      </c>
      <c r="Z5" s="19" t="s">
        <v>4</v>
      </c>
      <c r="AA5" s="19" t="s">
        <v>5</v>
      </c>
    </row>
    <row r="6" spans="1:27">
      <c r="A6" s="61"/>
      <c r="B6" s="62" t="s">
        <v>19</v>
      </c>
      <c r="C6" s="63" t="s">
        <v>43</v>
      </c>
      <c r="D6" s="64"/>
      <c r="E6" s="366"/>
      <c r="F6" s="66"/>
      <c r="G6" s="66"/>
      <c r="H6" s="64"/>
      <c r="I6" s="366"/>
      <c r="J6" s="66"/>
      <c r="K6" s="66"/>
      <c r="L6" s="64"/>
      <c r="M6" s="366"/>
      <c r="N6" s="66"/>
      <c r="O6" s="66"/>
      <c r="P6" s="64"/>
      <c r="Q6" s="366"/>
      <c r="R6" s="66"/>
      <c r="S6" s="66"/>
      <c r="T6" s="64"/>
      <c r="U6" s="366"/>
      <c r="V6" s="66"/>
      <c r="W6" s="66"/>
      <c r="X6" s="64"/>
      <c r="Y6" s="366"/>
      <c r="Z6" s="66"/>
      <c r="AA6" s="66"/>
    </row>
    <row r="7" spans="1:27">
      <c r="A7" s="14"/>
      <c r="B7" s="31"/>
      <c r="C7" s="28" t="s">
        <v>484</v>
      </c>
      <c r="D7" s="67" t="s">
        <v>6</v>
      </c>
      <c r="E7" s="29">
        <v>5</v>
      </c>
      <c r="F7" s="32">
        <v>2400</v>
      </c>
      <c r="G7" s="32">
        <f>K7+O7+S7+W7+AA7</f>
        <v>12000</v>
      </c>
      <c r="H7" s="67"/>
      <c r="I7" s="67">
        <v>1</v>
      </c>
      <c r="J7" s="32">
        <f>$F7</f>
        <v>2400</v>
      </c>
      <c r="K7" s="32">
        <f>I7*J7</f>
        <v>2400</v>
      </c>
      <c r="L7" s="67"/>
      <c r="M7" s="67">
        <v>1</v>
      </c>
      <c r="N7" s="32">
        <f>$F7</f>
        <v>2400</v>
      </c>
      <c r="O7" s="32">
        <f>M7*N7</f>
        <v>2400</v>
      </c>
      <c r="P7" s="67"/>
      <c r="Q7" s="67">
        <v>1</v>
      </c>
      <c r="R7" s="32">
        <f>$F7</f>
        <v>2400</v>
      </c>
      <c r="S7" s="32">
        <f>Q7*R7</f>
        <v>2400</v>
      </c>
      <c r="T7" s="67"/>
      <c r="U7" s="67">
        <v>1</v>
      </c>
      <c r="V7" s="32">
        <f>$F7</f>
        <v>2400</v>
      </c>
      <c r="W7" s="32">
        <f>U7*V7</f>
        <v>2400</v>
      </c>
      <c r="X7" s="67"/>
      <c r="Y7" s="67">
        <v>1</v>
      </c>
      <c r="Z7" s="32">
        <f>$F7</f>
        <v>2400</v>
      </c>
      <c r="AA7" s="32">
        <f>Y7*Z7</f>
        <v>2400</v>
      </c>
    </row>
    <row r="8" spans="1:27">
      <c r="A8" s="14"/>
      <c r="B8" s="31"/>
      <c r="C8" s="28"/>
      <c r="D8" s="67"/>
      <c r="E8" s="67"/>
      <c r="F8" s="32"/>
      <c r="G8" s="32"/>
      <c r="H8" s="67"/>
      <c r="I8" s="67"/>
      <c r="J8" s="32"/>
      <c r="K8" s="32"/>
      <c r="L8" s="67"/>
      <c r="M8" s="67"/>
      <c r="N8" s="32"/>
      <c r="O8" s="32"/>
      <c r="P8" s="67"/>
      <c r="Q8" s="67"/>
      <c r="R8" s="32"/>
      <c r="S8" s="32"/>
      <c r="T8" s="67"/>
      <c r="U8" s="67"/>
      <c r="V8" s="32"/>
      <c r="W8" s="32"/>
      <c r="X8" s="67"/>
      <c r="Y8" s="67"/>
      <c r="Z8" s="32"/>
      <c r="AA8" s="32"/>
    </row>
    <row r="9" spans="1:27">
      <c r="A9" s="35"/>
      <c r="B9" s="27"/>
      <c r="C9" s="38" t="s">
        <v>60</v>
      </c>
      <c r="D9" s="68"/>
      <c r="E9" s="369"/>
      <c r="F9" s="33" t="s">
        <v>10</v>
      </c>
      <c r="G9" s="34">
        <f>K9+O9+S9+W9+AA9</f>
        <v>12000</v>
      </c>
      <c r="H9" s="68"/>
      <c r="I9" s="369"/>
      <c r="J9" s="33" t="s">
        <v>10</v>
      </c>
      <c r="K9" s="34">
        <f>SUM(K6:K8)</f>
        <v>2400</v>
      </c>
      <c r="L9" s="68"/>
      <c r="M9" s="369"/>
      <c r="N9" s="33" t="s">
        <v>10</v>
      </c>
      <c r="O9" s="34">
        <f>SUM(O6:O8)</f>
        <v>2400</v>
      </c>
      <c r="P9" s="68"/>
      <c r="Q9" s="369"/>
      <c r="R9" s="33" t="s">
        <v>10</v>
      </c>
      <c r="S9" s="34">
        <f>SUM(S6:S8)</f>
        <v>2400</v>
      </c>
      <c r="T9" s="68"/>
      <c r="U9" s="369"/>
      <c r="V9" s="33" t="s">
        <v>10</v>
      </c>
      <c r="W9" s="34">
        <f>SUM(W6:W8)</f>
        <v>2400</v>
      </c>
      <c r="X9" s="68"/>
      <c r="Y9" s="369"/>
      <c r="Z9" s="33" t="s">
        <v>10</v>
      </c>
      <c r="AA9" s="34">
        <f>SUM(AA6:AA8)</f>
        <v>2400</v>
      </c>
    </row>
    <row r="10" spans="1:27">
      <c r="A10" s="35"/>
      <c r="B10" s="27"/>
      <c r="C10" s="36"/>
      <c r="D10" s="68"/>
      <c r="E10" s="369"/>
      <c r="F10" s="33"/>
      <c r="G10" s="34"/>
      <c r="H10" s="68"/>
      <c r="I10" s="369"/>
      <c r="J10" s="33"/>
      <c r="K10" s="34"/>
      <c r="L10" s="68"/>
      <c r="M10" s="369"/>
      <c r="N10" s="33"/>
      <c r="O10" s="34"/>
      <c r="P10" s="68"/>
      <c r="Q10" s="369"/>
      <c r="R10" s="33"/>
      <c r="S10" s="34"/>
      <c r="T10" s="68"/>
      <c r="U10" s="369"/>
      <c r="V10" s="33"/>
      <c r="W10" s="34"/>
      <c r="X10" s="68"/>
      <c r="Y10" s="369"/>
      <c r="Z10" s="33"/>
      <c r="AA10" s="34"/>
    </row>
    <row r="11" spans="1:27">
      <c r="A11" s="61"/>
      <c r="B11" s="62" t="s">
        <v>20</v>
      </c>
      <c r="C11" s="63" t="s">
        <v>48</v>
      </c>
      <c r="D11" s="64"/>
      <c r="E11" s="366"/>
      <c r="F11" s="66"/>
      <c r="G11" s="66"/>
      <c r="H11" s="64"/>
      <c r="I11" s="366"/>
      <c r="J11" s="66"/>
      <c r="K11" s="66"/>
      <c r="L11" s="64"/>
      <c r="M11" s="366"/>
      <c r="N11" s="66"/>
      <c r="O11" s="66"/>
      <c r="P11" s="64"/>
      <c r="Q11" s="366"/>
      <c r="R11" s="66"/>
      <c r="S11" s="66"/>
      <c r="T11" s="64"/>
      <c r="U11" s="366"/>
      <c r="V11" s="66"/>
      <c r="W11" s="66"/>
      <c r="X11" s="64"/>
      <c r="Y11" s="366"/>
      <c r="Z11" s="66"/>
      <c r="AA11" s="66"/>
    </row>
    <row r="12" spans="1:27">
      <c r="A12" s="14"/>
      <c r="B12" s="31"/>
      <c r="C12" s="28" t="s">
        <v>716</v>
      </c>
      <c r="D12" s="67" t="s">
        <v>11</v>
      </c>
      <c r="E12" s="29">
        <v>46</v>
      </c>
      <c r="F12" s="32">
        <v>78</v>
      </c>
      <c r="G12" s="32">
        <f t="shared" ref="G12:G27" si="0">K12+O12+S12+W12+AA12</f>
        <v>3588</v>
      </c>
      <c r="H12" s="67"/>
      <c r="I12" s="67">
        <v>18</v>
      </c>
      <c r="J12" s="32">
        <f>$F12</f>
        <v>78</v>
      </c>
      <c r="K12" s="32">
        <f>I12*J12</f>
        <v>1404</v>
      </c>
      <c r="L12" s="67"/>
      <c r="M12" s="67">
        <v>28</v>
      </c>
      <c r="N12" s="32">
        <f t="shared" ref="N12:N27" si="1">$F12</f>
        <v>78</v>
      </c>
      <c r="O12" s="32">
        <f t="shared" ref="O12:O27" si="2">M12*N12</f>
        <v>2184</v>
      </c>
      <c r="P12" s="67"/>
      <c r="Q12" s="67">
        <v>0</v>
      </c>
      <c r="R12" s="32">
        <f t="shared" ref="R12:R27" si="3">$F12</f>
        <v>78</v>
      </c>
      <c r="S12" s="32">
        <f t="shared" ref="S12:S27" si="4">Q12*R12</f>
        <v>0</v>
      </c>
      <c r="T12" s="67"/>
      <c r="U12" s="67">
        <v>0</v>
      </c>
      <c r="V12" s="32">
        <f t="shared" ref="V12:V27" si="5">$F12</f>
        <v>78</v>
      </c>
      <c r="W12" s="32">
        <f t="shared" ref="W12:W27" si="6">U12*V12</f>
        <v>0</v>
      </c>
      <c r="X12" s="67"/>
      <c r="Y12" s="67">
        <v>0</v>
      </c>
      <c r="Z12" s="32">
        <f t="shared" ref="Z12:Z27" si="7">$F12</f>
        <v>78</v>
      </c>
      <c r="AA12" s="32">
        <f t="shared" ref="AA12:AA27" si="8">Y12*Z12</f>
        <v>0</v>
      </c>
    </row>
    <row r="13" spans="1:27">
      <c r="A13" s="14"/>
      <c r="B13" s="31"/>
      <c r="C13" s="28" t="s">
        <v>49</v>
      </c>
      <c r="D13" s="67" t="s">
        <v>11</v>
      </c>
      <c r="E13" s="29">
        <v>1578</v>
      </c>
      <c r="F13" s="32">
        <v>48.2</v>
      </c>
      <c r="G13" s="32">
        <f t="shared" si="0"/>
        <v>76059.600000000006</v>
      </c>
      <c r="H13" s="67"/>
      <c r="I13" s="67">
        <v>98</v>
      </c>
      <c r="J13" s="32">
        <f t="shared" ref="J13:J27" si="9">$F13</f>
        <v>48.2</v>
      </c>
      <c r="K13" s="32">
        <f t="shared" ref="K13:K27" si="10">I13*J13</f>
        <v>4723.6000000000004</v>
      </c>
      <c r="L13" s="67"/>
      <c r="M13" s="67">
        <v>368</v>
      </c>
      <c r="N13" s="32">
        <f t="shared" si="1"/>
        <v>48.2</v>
      </c>
      <c r="O13" s="32">
        <f t="shared" si="2"/>
        <v>17737.600000000002</v>
      </c>
      <c r="P13" s="67"/>
      <c r="Q13" s="67">
        <v>352</v>
      </c>
      <c r="R13" s="32">
        <f t="shared" si="3"/>
        <v>48.2</v>
      </c>
      <c r="S13" s="32">
        <f t="shared" si="4"/>
        <v>16966.400000000001</v>
      </c>
      <c r="T13" s="67"/>
      <c r="U13" s="67">
        <v>615</v>
      </c>
      <c r="V13" s="32">
        <f t="shared" si="5"/>
        <v>48.2</v>
      </c>
      <c r="W13" s="32">
        <f t="shared" si="6"/>
        <v>29643</v>
      </c>
      <c r="X13" s="67"/>
      <c r="Y13" s="67">
        <v>145</v>
      </c>
      <c r="Z13" s="32">
        <f t="shared" si="7"/>
        <v>48.2</v>
      </c>
      <c r="AA13" s="32">
        <f t="shared" si="8"/>
        <v>6989</v>
      </c>
    </row>
    <row r="14" spans="1:27">
      <c r="A14" s="14"/>
      <c r="B14" s="31"/>
      <c r="C14" s="28" t="s">
        <v>50</v>
      </c>
      <c r="D14" s="67" t="s">
        <v>11</v>
      </c>
      <c r="E14" s="29">
        <v>397</v>
      </c>
      <c r="F14" s="32">
        <v>60.1</v>
      </c>
      <c r="G14" s="32">
        <f t="shared" si="0"/>
        <v>23859.7</v>
      </c>
      <c r="H14" s="67"/>
      <c r="I14" s="67">
        <v>0</v>
      </c>
      <c r="J14" s="32">
        <f t="shared" si="9"/>
        <v>60.1</v>
      </c>
      <c r="K14" s="32">
        <f t="shared" si="10"/>
        <v>0</v>
      </c>
      <c r="L14" s="67"/>
      <c r="M14" s="67">
        <v>137</v>
      </c>
      <c r="N14" s="32">
        <f t="shared" si="1"/>
        <v>60.1</v>
      </c>
      <c r="O14" s="32">
        <f t="shared" si="2"/>
        <v>8233.7000000000007</v>
      </c>
      <c r="P14" s="67"/>
      <c r="Q14" s="67">
        <v>63</v>
      </c>
      <c r="R14" s="32">
        <f t="shared" si="3"/>
        <v>60.1</v>
      </c>
      <c r="S14" s="32">
        <f t="shared" si="4"/>
        <v>3786.3</v>
      </c>
      <c r="T14" s="67"/>
      <c r="U14" s="67">
        <v>144</v>
      </c>
      <c r="V14" s="32">
        <f t="shared" si="5"/>
        <v>60.1</v>
      </c>
      <c r="W14" s="32">
        <f t="shared" si="6"/>
        <v>8654.4</v>
      </c>
      <c r="X14" s="67"/>
      <c r="Y14" s="67">
        <v>53</v>
      </c>
      <c r="Z14" s="32">
        <f t="shared" si="7"/>
        <v>60.1</v>
      </c>
      <c r="AA14" s="32">
        <f t="shared" si="8"/>
        <v>3185.3</v>
      </c>
    </row>
    <row r="15" spans="1:27">
      <c r="A15" s="14"/>
      <c r="B15" s="31"/>
      <c r="C15" s="28" t="s">
        <v>730</v>
      </c>
      <c r="D15" s="67" t="s">
        <v>11</v>
      </c>
      <c r="E15" s="29">
        <v>13</v>
      </c>
      <c r="F15" s="32">
        <v>49.3</v>
      </c>
      <c r="G15" s="32">
        <f t="shared" si="0"/>
        <v>640.9</v>
      </c>
      <c r="H15" s="67"/>
      <c r="I15" s="67">
        <v>0</v>
      </c>
      <c r="J15" s="32">
        <f t="shared" si="9"/>
        <v>49.3</v>
      </c>
      <c r="K15" s="32">
        <f t="shared" si="10"/>
        <v>0</v>
      </c>
      <c r="L15" s="67"/>
      <c r="M15" s="67">
        <v>0</v>
      </c>
      <c r="N15" s="32">
        <f t="shared" si="1"/>
        <v>49.3</v>
      </c>
      <c r="O15" s="32">
        <f t="shared" si="2"/>
        <v>0</v>
      </c>
      <c r="P15" s="67"/>
      <c r="Q15" s="67">
        <v>13</v>
      </c>
      <c r="R15" s="32">
        <f t="shared" si="3"/>
        <v>49.3</v>
      </c>
      <c r="S15" s="32">
        <f t="shared" si="4"/>
        <v>640.9</v>
      </c>
      <c r="T15" s="67"/>
      <c r="U15" s="67">
        <v>0</v>
      </c>
      <c r="V15" s="32">
        <f t="shared" si="5"/>
        <v>49.3</v>
      </c>
      <c r="W15" s="32">
        <f t="shared" si="6"/>
        <v>0</v>
      </c>
      <c r="X15" s="67"/>
      <c r="Y15" s="67">
        <v>0</v>
      </c>
      <c r="Z15" s="32">
        <f t="shared" si="7"/>
        <v>49.3</v>
      </c>
      <c r="AA15" s="32">
        <f t="shared" si="8"/>
        <v>0</v>
      </c>
    </row>
    <row r="16" spans="1:27">
      <c r="A16" s="14"/>
      <c r="B16" s="31"/>
      <c r="C16" s="28" t="s">
        <v>731</v>
      </c>
      <c r="D16" s="67" t="s">
        <v>11</v>
      </c>
      <c r="E16" s="29">
        <v>26</v>
      </c>
      <c r="F16" s="32">
        <v>49.3</v>
      </c>
      <c r="G16" s="32">
        <f t="shared" si="0"/>
        <v>1281.8</v>
      </c>
      <c r="H16" s="67"/>
      <c r="I16" s="67">
        <v>0</v>
      </c>
      <c r="J16" s="32">
        <f t="shared" si="9"/>
        <v>49.3</v>
      </c>
      <c r="K16" s="32">
        <f t="shared" si="10"/>
        <v>0</v>
      </c>
      <c r="L16" s="67"/>
      <c r="M16" s="67">
        <v>0</v>
      </c>
      <c r="N16" s="32">
        <f t="shared" si="1"/>
        <v>49.3</v>
      </c>
      <c r="O16" s="32">
        <f t="shared" si="2"/>
        <v>0</v>
      </c>
      <c r="P16" s="67"/>
      <c r="Q16" s="67">
        <v>26</v>
      </c>
      <c r="R16" s="32">
        <f t="shared" si="3"/>
        <v>49.3</v>
      </c>
      <c r="S16" s="32">
        <f t="shared" si="4"/>
        <v>1281.8</v>
      </c>
      <c r="T16" s="67"/>
      <c r="U16" s="67">
        <v>0</v>
      </c>
      <c r="V16" s="32">
        <f t="shared" si="5"/>
        <v>49.3</v>
      </c>
      <c r="W16" s="32">
        <f t="shared" si="6"/>
        <v>0</v>
      </c>
      <c r="X16" s="67"/>
      <c r="Y16" s="67">
        <v>0</v>
      </c>
      <c r="Z16" s="32">
        <f t="shared" si="7"/>
        <v>49.3</v>
      </c>
      <c r="AA16" s="32">
        <f t="shared" si="8"/>
        <v>0</v>
      </c>
    </row>
    <row r="17" spans="1:27">
      <c r="A17" s="14"/>
      <c r="B17" s="31"/>
      <c r="C17" s="28" t="s">
        <v>51</v>
      </c>
      <c r="D17" s="67" t="s">
        <v>11</v>
      </c>
      <c r="E17" s="29">
        <v>590</v>
      </c>
      <c r="F17" s="32">
        <v>48</v>
      </c>
      <c r="G17" s="32">
        <f t="shared" si="0"/>
        <v>28320</v>
      </c>
      <c r="H17" s="67"/>
      <c r="I17" s="67">
        <v>0</v>
      </c>
      <c r="J17" s="32">
        <f t="shared" si="9"/>
        <v>48</v>
      </c>
      <c r="K17" s="32">
        <f t="shared" si="10"/>
        <v>0</v>
      </c>
      <c r="L17" s="67"/>
      <c r="M17" s="67">
        <v>180</v>
      </c>
      <c r="N17" s="32">
        <f t="shared" si="1"/>
        <v>48</v>
      </c>
      <c r="O17" s="32">
        <f t="shared" si="2"/>
        <v>8640</v>
      </c>
      <c r="P17" s="67"/>
      <c r="Q17" s="67">
        <v>146</v>
      </c>
      <c r="R17" s="32">
        <f t="shared" si="3"/>
        <v>48</v>
      </c>
      <c r="S17" s="32">
        <f t="shared" si="4"/>
        <v>7008</v>
      </c>
      <c r="T17" s="67"/>
      <c r="U17" s="67">
        <v>176</v>
      </c>
      <c r="V17" s="32">
        <f t="shared" si="5"/>
        <v>48</v>
      </c>
      <c r="W17" s="32">
        <f t="shared" si="6"/>
        <v>8448</v>
      </c>
      <c r="X17" s="67"/>
      <c r="Y17" s="67">
        <v>88</v>
      </c>
      <c r="Z17" s="32">
        <f t="shared" si="7"/>
        <v>48</v>
      </c>
      <c r="AA17" s="32">
        <f t="shared" si="8"/>
        <v>4224</v>
      </c>
    </row>
    <row r="18" spans="1:27">
      <c r="A18" s="14"/>
      <c r="B18" s="31"/>
      <c r="C18" s="28" t="s">
        <v>52</v>
      </c>
      <c r="D18" s="67" t="s">
        <v>11</v>
      </c>
      <c r="E18" s="29">
        <v>658</v>
      </c>
      <c r="F18" s="32">
        <v>48.9</v>
      </c>
      <c r="G18" s="32">
        <f t="shared" si="0"/>
        <v>32176.2</v>
      </c>
      <c r="H18" s="67"/>
      <c r="I18" s="67">
        <v>0</v>
      </c>
      <c r="J18" s="32">
        <f t="shared" si="9"/>
        <v>48.9</v>
      </c>
      <c r="K18" s="32">
        <f t="shared" si="10"/>
        <v>0</v>
      </c>
      <c r="L18" s="67"/>
      <c r="M18" s="67">
        <v>294</v>
      </c>
      <c r="N18" s="32">
        <f t="shared" si="1"/>
        <v>48.9</v>
      </c>
      <c r="O18" s="32">
        <f t="shared" si="2"/>
        <v>14376.6</v>
      </c>
      <c r="P18" s="67"/>
      <c r="Q18" s="67">
        <v>189</v>
      </c>
      <c r="R18" s="32">
        <f t="shared" si="3"/>
        <v>48.9</v>
      </c>
      <c r="S18" s="32">
        <f t="shared" si="4"/>
        <v>9242.1</v>
      </c>
      <c r="T18" s="67"/>
      <c r="U18" s="67">
        <v>175</v>
      </c>
      <c r="V18" s="32">
        <f t="shared" si="5"/>
        <v>48.9</v>
      </c>
      <c r="W18" s="32">
        <f t="shared" si="6"/>
        <v>8557.5</v>
      </c>
      <c r="X18" s="67"/>
      <c r="Y18" s="67">
        <v>0</v>
      </c>
      <c r="Z18" s="32">
        <f t="shared" si="7"/>
        <v>48.9</v>
      </c>
      <c r="AA18" s="32">
        <f t="shared" si="8"/>
        <v>0</v>
      </c>
    </row>
    <row r="19" spans="1:27">
      <c r="A19" s="14"/>
      <c r="B19" s="31"/>
      <c r="C19" s="28" t="s">
        <v>74</v>
      </c>
      <c r="D19" s="67" t="s">
        <v>11</v>
      </c>
      <c r="E19" s="29">
        <v>739</v>
      </c>
      <c r="F19" s="32">
        <v>31.7</v>
      </c>
      <c r="G19" s="32">
        <f t="shared" si="0"/>
        <v>23426.3</v>
      </c>
      <c r="H19" s="67"/>
      <c r="I19" s="67">
        <v>29</v>
      </c>
      <c r="J19" s="32">
        <f t="shared" si="9"/>
        <v>31.7</v>
      </c>
      <c r="K19" s="32">
        <f t="shared" si="10"/>
        <v>919.3</v>
      </c>
      <c r="L19" s="67"/>
      <c r="M19" s="67">
        <v>199</v>
      </c>
      <c r="N19" s="32">
        <f t="shared" si="1"/>
        <v>31.7</v>
      </c>
      <c r="O19" s="32">
        <f t="shared" si="2"/>
        <v>6308.3</v>
      </c>
      <c r="P19" s="67"/>
      <c r="Q19" s="67">
        <v>229</v>
      </c>
      <c r="R19" s="32">
        <f t="shared" si="3"/>
        <v>31.7</v>
      </c>
      <c r="S19" s="32">
        <f t="shared" si="4"/>
        <v>7259.3</v>
      </c>
      <c r="T19" s="67"/>
      <c r="U19" s="67">
        <v>243</v>
      </c>
      <c r="V19" s="32">
        <f t="shared" si="5"/>
        <v>31.7</v>
      </c>
      <c r="W19" s="32">
        <f t="shared" si="6"/>
        <v>7703.0999999999995</v>
      </c>
      <c r="X19" s="67"/>
      <c r="Y19" s="67">
        <v>39</v>
      </c>
      <c r="Z19" s="32">
        <f t="shared" si="7"/>
        <v>31.7</v>
      </c>
      <c r="AA19" s="32">
        <f t="shared" si="8"/>
        <v>1236.3</v>
      </c>
    </row>
    <row r="20" spans="1:27">
      <c r="A20" s="14"/>
      <c r="B20" s="31"/>
      <c r="C20" s="28" t="s">
        <v>821</v>
      </c>
      <c r="D20" s="67" t="s">
        <v>70</v>
      </c>
      <c r="E20" s="29">
        <v>177</v>
      </c>
      <c r="F20" s="32">
        <v>26</v>
      </c>
      <c r="G20" s="32">
        <f t="shared" si="0"/>
        <v>4602</v>
      </c>
      <c r="H20" s="67"/>
      <c r="I20" s="67">
        <v>40</v>
      </c>
      <c r="J20" s="32">
        <f t="shared" si="9"/>
        <v>26</v>
      </c>
      <c r="K20" s="32">
        <f t="shared" si="10"/>
        <v>1040</v>
      </c>
      <c r="L20" s="67"/>
      <c r="M20" s="67">
        <v>9</v>
      </c>
      <c r="N20" s="32">
        <f t="shared" si="1"/>
        <v>26</v>
      </c>
      <c r="O20" s="32">
        <f t="shared" si="2"/>
        <v>234</v>
      </c>
      <c r="P20" s="67"/>
      <c r="Q20" s="67">
        <v>56</v>
      </c>
      <c r="R20" s="32">
        <f t="shared" si="3"/>
        <v>26</v>
      </c>
      <c r="S20" s="32">
        <f t="shared" si="4"/>
        <v>1456</v>
      </c>
      <c r="T20" s="67"/>
      <c r="U20" s="67">
        <v>72</v>
      </c>
      <c r="V20" s="32">
        <f t="shared" si="5"/>
        <v>26</v>
      </c>
      <c r="W20" s="32">
        <f t="shared" si="6"/>
        <v>1872</v>
      </c>
      <c r="X20" s="67"/>
      <c r="Y20" s="67">
        <v>0</v>
      </c>
      <c r="Z20" s="32">
        <f t="shared" si="7"/>
        <v>26</v>
      </c>
      <c r="AA20" s="32">
        <f t="shared" si="8"/>
        <v>0</v>
      </c>
    </row>
    <row r="21" spans="1:27">
      <c r="A21" s="14"/>
      <c r="B21" s="31"/>
      <c r="C21" s="28" t="s">
        <v>809</v>
      </c>
      <c r="D21" s="67" t="s">
        <v>11</v>
      </c>
      <c r="E21" s="29">
        <v>49</v>
      </c>
      <c r="F21" s="32">
        <v>74</v>
      </c>
      <c r="G21" s="32">
        <f t="shared" si="0"/>
        <v>3626</v>
      </c>
      <c r="H21" s="67"/>
      <c r="I21" s="67">
        <v>10</v>
      </c>
      <c r="J21" s="32">
        <f t="shared" si="9"/>
        <v>74</v>
      </c>
      <c r="K21" s="32">
        <f t="shared" si="10"/>
        <v>740</v>
      </c>
      <c r="L21" s="67"/>
      <c r="M21" s="67">
        <v>10</v>
      </c>
      <c r="N21" s="32">
        <f t="shared" si="1"/>
        <v>74</v>
      </c>
      <c r="O21" s="32">
        <f t="shared" si="2"/>
        <v>740</v>
      </c>
      <c r="P21" s="67"/>
      <c r="Q21" s="67">
        <v>8</v>
      </c>
      <c r="R21" s="32">
        <f t="shared" si="3"/>
        <v>74</v>
      </c>
      <c r="S21" s="32">
        <f t="shared" si="4"/>
        <v>592</v>
      </c>
      <c r="T21" s="67"/>
      <c r="U21" s="67">
        <v>18</v>
      </c>
      <c r="V21" s="32">
        <f t="shared" si="5"/>
        <v>74</v>
      </c>
      <c r="W21" s="32">
        <f t="shared" si="6"/>
        <v>1332</v>
      </c>
      <c r="X21" s="67"/>
      <c r="Y21" s="67">
        <v>3</v>
      </c>
      <c r="Z21" s="32">
        <f t="shared" si="7"/>
        <v>74</v>
      </c>
      <c r="AA21" s="32">
        <f t="shared" si="8"/>
        <v>222</v>
      </c>
    </row>
    <row r="22" spans="1:27">
      <c r="A22" s="14"/>
      <c r="B22" s="31"/>
      <c r="C22" s="28" t="s">
        <v>54</v>
      </c>
      <c r="D22" s="67" t="s">
        <v>6</v>
      </c>
      <c r="E22" s="29">
        <v>2</v>
      </c>
      <c r="F22" s="32">
        <v>145</v>
      </c>
      <c r="G22" s="32">
        <f t="shared" si="0"/>
        <v>290</v>
      </c>
      <c r="H22" s="67"/>
      <c r="I22" s="67">
        <v>1</v>
      </c>
      <c r="J22" s="32">
        <f t="shared" si="9"/>
        <v>145</v>
      </c>
      <c r="K22" s="32">
        <f t="shared" si="10"/>
        <v>145</v>
      </c>
      <c r="L22" s="67"/>
      <c r="M22" s="67">
        <v>0</v>
      </c>
      <c r="N22" s="32">
        <f t="shared" si="1"/>
        <v>145</v>
      </c>
      <c r="O22" s="32">
        <f t="shared" si="2"/>
        <v>0</v>
      </c>
      <c r="P22" s="67"/>
      <c r="Q22" s="67">
        <v>1</v>
      </c>
      <c r="R22" s="32">
        <f t="shared" si="3"/>
        <v>145</v>
      </c>
      <c r="S22" s="32">
        <f t="shared" si="4"/>
        <v>145</v>
      </c>
      <c r="T22" s="67"/>
      <c r="U22" s="67">
        <v>0</v>
      </c>
      <c r="V22" s="32">
        <f t="shared" si="5"/>
        <v>145</v>
      </c>
      <c r="W22" s="32">
        <f t="shared" si="6"/>
        <v>0</v>
      </c>
      <c r="X22" s="67"/>
      <c r="Y22" s="67">
        <v>0</v>
      </c>
      <c r="Z22" s="32">
        <f t="shared" si="7"/>
        <v>145</v>
      </c>
      <c r="AA22" s="32">
        <f t="shared" si="8"/>
        <v>0</v>
      </c>
    </row>
    <row r="23" spans="1:27">
      <c r="A23" s="14"/>
      <c r="B23" s="31"/>
      <c r="C23" s="192" t="s">
        <v>53</v>
      </c>
      <c r="D23" s="67" t="s">
        <v>6</v>
      </c>
      <c r="E23" s="29">
        <v>1</v>
      </c>
      <c r="F23" s="32">
        <v>150</v>
      </c>
      <c r="G23" s="32">
        <f t="shared" si="0"/>
        <v>150</v>
      </c>
      <c r="H23" s="67"/>
      <c r="I23" s="67">
        <v>0</v>
      </c>
      <c r="J23" s="32">
        <f t="shared" si="9"/>
        <v>150</v>
      </c>
      <c r="K23" s="32">
        <f t="shared" si="10"/>
        <v>0</v>
      </c>
      <c r="L23" s="67"/>
      <c r="M23" s="67">
        <v>0</v>
      </c>
      <c r="N23" s="32">
        <f t="shared" si="1"/>
        <v>150</v>
      </c>
      <c r="O23" s="32">
        <f t="shared" si="2"/>
        <v>0</v>
      </c>
      <c r="P23" s="67"/>
      <c r="Q23" s="67">
        <v>1</v>
      </c>
      <c r="R23" s="32">
        <f t="shared" si="3"/>
        <v>150</v>
      </c>
      <c r="S23" s="32">
        <f t="shared" si="4"/>
        <v>150</v>
      </c>
      <c r="T23" s="67"/>
      <c r="U23" s="67">
        <v>0</v>
      </c>
      <c r="V23" s="32">
        <f t="shared" si="5"/>
        <v>150</v>
      </c>
      <c r="W23" s="32">
        <f t="shared" si="6"/>
        <v>0</v>
      </c>
      <c r="X23" s="67"/>
      <c r="Y23" s="67">
        <v>0</v>
      </c>
      <c r="Z23" s="32">
        <f t="shared" si="7"/>
        <v>150</v>
      </c>
      <c r="AA23" s="32">
        <f t="shared" si="8"/>
        <v>0</v>
      </c>
    </row>
    <row r="24" spans="1:27">
      <c r="A24" s="14"/>
      <c r="B24" s="31"/>
      <c r="C24" s="192" t="s">
        <v>718</v>
      </c>
      <c r="D24" s="67" t="s">
        <v>6</v>
      </c>
      <c r="E24" s="29">
        <v>280</v>
      </c>
      <c r="F24" s="32">
        <v>7</v>
      </c>
      <c r="G24" s="32">
        <f t="shared" si="0"/>
        <v>1960</v>
      </c>
      <c r="H24" s="67"/>
      <c r="I24" s="67">
        <v>30</v>
      </c>
      <c r="J24" s="32">
        <f t="shared" si="9"/>
        <v>7</v>
      </c>
      <c r="K24" s="32">
        <f t="shared" si="10"/>
        <v>210</v>
      </c>
      <c r="L24" s="67"/>
      <c r="M24" s="67">
        <v>80</v>
      </c>
      <c r="N24" s="32">
        <f t="shared" si="1"/>
        <v>7</v>
      </c>
      <c r="O24" s="32">
        <f t="shared" si="2"/>
        <v>560</v>
      </c>
      <c r="P24" s="67"/>
      <c r="Q24" s="67">
        <v>90</v>
      </c>
      <c r="R24" s="32">
        <f t="shared" si="3"/>
        <v>7</v>
      </c>
      <c r="S24" s="32">
        <f t="shared" si="4"/>
        <v>630</v>
      </c>
      <c r="T24" s="67"/>
      <c r="U24" s="67">
        <v>50</v>
      </c>
      <c r="V24" s="32">
        <f t="shared" si="5"/>
        <v>7</v>
      </c>
      <c r="W24" s="32">
        <f t="shared" si="6"/>
        <v>350</v>
      </c>
      <c r="X24" s="67"/>
      <c r="Y24" s="67">
        <v>30</v>
      </c>
      <c r="Z24" s="32">
        <f t="shared" si="7"/>
        <v>7</v>
      </c>
      <c r="AA24" s="32">
        <f t="shared" si="8"/>
        <v>210</v>
      </c>
    </row>
    <row r="25" spans="1:27">
      <c r="A25" s="14"/>
      <c r="B25" s="31"/>
      <c r="C25" s="192" t="s">
        <v>174</v>
      </c>
      <c r="D25" s="67" t="s">
        <v>6</v>
      </c>
      <c r="E25" s="29">
        <v>1</v>
      </c>
      <c r="F25" s="32">
        <v>1000</v>
      </c>
      <c r="G25" s="32">
        <f t="shared" si="0"/>
        <v>1000</v>
      </c>
      <c r="H25" s="67"/>
      <c r="I25" s="67">
        <v>0</v>
      </c>
      <c r="J25" s="32">
        <f t="shared" si="9"/>
        <v>1000</v>
      </c>
      <c r="K25" s="32">
        <f t="shared" si="10"/>
        <v>0</v>
      </c>
      <c r="L25" s="67"/>
      <c r="M25" s="67">
        <v>0</v>
      </c>
      <c r="N25" s="32">
        <f t="shared" si="1"/>
        <v>1000</v>
      </c>
      <c r="O25" s="32">
        <f t="shared" si="2"/>
        <v>0</v>
      </c>
      <c r="P25" s="67"/>
      <c r="Q25" s="67">
        <v>1</v>
      </c>
      <c r="R25" s="32">
        <f t="shared" si="3"/>
        <v>1000</v>
      </c>
      <c r="S25" s="32">
        <f t="shared" si="4"/>
        <v>1000</v>
      </c>
      <c r="T25" s="67"/>
      <c r="U25" s="67">
        <v>0</v>
      </c>
      <c r="V25" s="32">
        <f t="shared" si="5"/>
        <v>1000</v>
      </c>
      <c r="W25" s="32">
        <f t="shared" si="6"/>
        <v>0</v>
      </c>
      <c r="X25" s="67"/>
      <c r="Y25" s="67">
        <v>0</v>
      </c>
      <c r="Z25" s="32">
        <f t="shared" si="7"/>
        <v>1000</v>
      </c>
      <c r="AA25" s="32">
        <f t="shared" si="8"/>
        <v>0</v>
      </c>
    </row>
    <row r="26" spans="1:27">
      <c r="A26" s="14"/>
      <c r="B26" s="31"/>
      <c r="C26" s="192" t="s">
        <v>175</v>
      </c>
      <c r="D26" s="67" t="s">
        <v>11</v>
      </c>
      <c r="E26" s="29">
        <v>153</v>
      </c>
      <c r="F26" s="32">
        <v>5</v>
      </c>
      <c r="G26" s="32">
        <f t="shared" si="0"/>
        <v>765</v>
      </c>
      <c r="H26" s="67"/>
      <c r="I26" s="67">
        <v>0</v>
      </c>
      <c r="J26" s="32">
        <f t="shared" si="9"/>
        <v>5</v>
      </c>
      <c r="K26" s="32">
        <f t="shared" si="10"/>
        <v>0</v>
      </c>
      <c r="L26" s="67"/>
      <c r="M26" s="67">
        <v>0</v>
      </c>
      <c r="N26" s="32">
        <f t="shared" si="1"/>
        <v>5</v>
      </c>
      <c r="O26" s="32">
        <f t="shared" si="2"/>
        <v>0</v>
      </c>
      <c r="P26" s="67"/>
      <c r="Q26" s="67">
        <v>147</v>
      </c>
      <c r="R26" s="32">
        <f t="shared" si="3"/>
        <v>5</v>
      </c>
      <c r="S26" s="32">
        <f t="shared" si="4"/>
        <v>735</v>
      </c>
      <c r="T26" s="67"/>
      <c r="U26" s="67">
        <v>0</v>
      </c>
      <c r="V26" s="32">
        <f t="shared" si="5"/>
        <v>5</v>
      </c>
      <c r="W26" s="32">
        <f t="shared" si="6"/>
        <v>0</v>
      </c>
      <c r="X26" s="67"/>
      <c r="Y26" s="67">
        <v>6</v>
      </c>
      <c r="Z26" s="32">
        <f t="shared" si="7"/>
        <v>5</v>
      </c>
      <c r="AA26" s="32">
        <f t="shared" si="8"/>
        <v>30</v>
      </c>
    </row>
    <row r="27" spans="1:27">
      <c r="A27" s="14"/>
      <c r="B27" s="31"/>
      <c r="C27" s="192" t="s">
        <v>155</v>
      </c>
      <c r="D27" s="67" t="s">
        <v>11</v>
      </c>
      <c r="E27" s="29">
        <v>48</v>
      </c>
      <c r="F27" s="32">
        <v>77</v>
      </c>
      <c r="G27" s="32">
        <f t="shared" si="0"/>
        <v>3696</v>
      </c>
      <c r="H27" s="67"/>
      <c r="I27" s="67">
        <v>0</v>
      </c>
      <c r="J27" s="32">
        <f t="shared" si="9"/>
        <v>77</v>
      </c>
      <c r="K27" s="32">
        <f t="shared" si="10"/>
        <v>0</v>
      </c>
      <c r="L27" s="67"/>
      <c r="M27" s="67">
        <v>0</v>
      </c>
      <c r="N27" s="32">
        <f t="shared" si="1"/>
        <v>77</v>
      </c>
      <c r="O27" s="32">
        <f t="shared" si="2"/>
        <v>0</v>
      </c>
      <c r="P27" s="67"/>
      <c r="Q27" s="67">
        <v>24</v>
      </c>
      <c r="R27" s="32">
        <f t="shared" si="3"/>
        <v>77</v>
      </c>
      <c r="S27" s="32">
        <f t="shared" si="4"/>
        <v>1848</v>
      </c>
      <c r="T27" s="67"/>
      <c r="U27" s="67">
        <v>24</v>
      </c>
      <c r="V27" s="32">
        <f t="shared" si="5"/>
        <v>77</v>
      </c>
      <c r="W27" s="32">
        <f t="shared" si="6"/>
        <v>1848</v>
      </c>
      <c r="X27" s="67"/>
      <c r="Y27" s="67">
        <v>0</v>
      </c>
      <c r="Z27" s="32">
        <f t="shared" si="7"/>
        <v>77</v>
      </c>
      <c r="AA27" s="32">
        <f t="shared" si="8"/>
        <v>0</v>
      </c>
    </row>
    <row r="28" spans="1:27">
      <c r="A28" s="14"/>
      <c r="B28" s="31"/>
      <c r="C28" s="28"/>
      <c r="D28" s="67"/>
      <c r="E28" s="67"/>
      <c r="F28" s="32"/>
      <c r="G28" s="32"/>
      <c r="H28" s="67"/>
      <c r="I28" s="67"/>
      <c r="J28" s="32"/>
      <c r="K28" s="32"/>
      <c r="L28" s="67"/>
      <c r="M28" s="67"/>
      <c r="N28" s="32"/>
      <c r="O28" s="32"/>
      <c r="P28" s="67"/>
      <c r="Q28" s="67"/>
      <c r="R28" s="32"/>
      <c r="S28" s="32"/>
      <c r="T28" s="67"/>
      <c r="U28" s="67"/>
      <c r="V28" s="32"/>
      <c r="W28" s="32"/>
      <c r="X28" s="67"/>
      <c r="Y28" s="67"/>
      <c r="Z28" s="32"/>
      <c r="AA28" s="32"/>
    </row>
    <row r="29" spans="1:27">
      <c r="A29" s="35"/>
      <c r="B29" s="27"/>
      <c r="C29" s="38" t="s">
        <v>80</v>
      </c>
      <c r="D29" s="68"/>
      <c r="E29" s="369"/>
      <c r="F29" s="33" t="s">
        <v>10</v>
      </c>
      <c r="G29" s="34">
        <f>K29+O29+S29+W29+AA29</f>
        <v>205441.50000000003</v>
      </c>
      <c r="H29" s="68"/>
      <c r="I29" s="369"/>
      <c r="J29" s="33" t="s">
        <v>10</v>
      </c>
      <c r="K29" s="34">
        <f>SUM(K11:K28)</f>
        <v>9181.9000000000015</v>
      </c>
      <c r="L29" s="68"/>
      <c r="M29" s="369"/>
      <c r="N29" s="33" t="s">
        <v>10</v>
      </c>
      <c r="O29" s="34">
        <f>SUM(O11:O28)</f>
        <v>59014.200000000004</v>
      </c>
      <c r="P29" s="68"/>
      <c r="Q29" s="369"/>
      <c r="R29" s="33" t="s">
        <v>10</v>
      </c>
      <c r="S29" s="34">
        <f>SUM(S11:S28)</f>
        <v>52740.800000000003</v>
      </c>
      <c r="T29" s="68"/>
      <c r="U29" s="369"/>
      <c r="V29" s="33" t="s">
        <v>10</v>
      </c>
      <c r="W29" s="34">
        <f>SUM(W11:W28)</f>
        <v>68408</v>
      </c>
      <c r="X29" s="68"/>
      <c r="Y29" s="369"/>
      <c r="Z29" s="33" t="s">
        <v>10</v>
      </c>
      <c r="AA29" s="34">
        <f>SUM(AA11:AA28)</f>
        <v>16096.599999999999</v>
      </c>
    </row>
    <row r="30" spans="1:27">
      <c r="A30" s="35"/>
      <c r="B30" s="27"/>
      <c r="C30" s="36"/>
      <c r="D30" s="68"/>
      <c r="E30" s="369"/>
      <c r="F30" s="33"/>
      <c r="G30" s="34"/>
      <c r="H30" s="68"/>
      <c r="I30" s="369"/>
      <c r="J30" s="33"/>
      <c r="K30" s="34"/>
      <c r="L30" s="68"/>
      <c r="M30" s="369"/>
      <c r="N30" s="33"/>
      <c r="O30" s="34"/>
      <c r="P30" s="68"/>
      <c r="Q30" s="369"/>
      <c r="R30" s="33"/>
      <c r="S30" s="34"/>
      <c r="T30" s="68"/>
      <c r="U30" s="369"/>
      <c r="V30" s="33"/>
      <c r="W30" s="34"/>
      <c r="X30" s="68"/>
      <c r="Y30" s="369"/>
      <c r="Z30" s="33"/>
      <c r="AA30" s="34"/>
    </row>
    <row r="31" spans="1:27">
      <c r="A31" s="14"/>
      <c r="B31" s="31"/>
      <c r="C31" s="28"/>
      <c r="D31" s="67"/>
      <c r="E31" s="67"/>
      <c r="F31" s="33"/>
      <c r="G31" s="34"/>
      <c r="H31" s="67"/>
      <c r="I31" s="67"/>
      <c r="J31" s="33"/>
      <c r="K31" s="34"/>
      <c r="L31" s="67"/>
      <c r="M31" s="67"/>
      <c r="N31" s="33"/>
      <c r="O31" s="34"/>
      <c r="P31" s="67"/>
      <c r="Q31" s="67"/>
      <c r="R31" s="33"/>
      <c r="S31" s="34"/>
      <c r="T31" s="67"/>
      <c r="U31" s="67"/>
      <c r="V31" s="33"/>
      <c r="W31" s="34"/>
      <c r="X31" s="67"/>
      <c r="Y31" s="67"/>
      <c r="Z31" s="33"/>
      <c r="AA31" s="34"/>
    </row>
    <row r="32" spans="1:27">
      <c r="A32" s="61"/>
      <c r="B32" s="62" t="s">
        <v>21</v>
      </c>
      <c r="C32" s="63" t="s">
        <v>717</v>
      </c>
      <c r="D32" s="64"/>
      <c r="E32" s="366"/>
      <c r="F32" s="66"/>
      <c r="G32" s="66"/>
      <c r="H32" s="64"/>
      <c r="I32" s="366"/>
      <c r="J32" s="66"/>
      <c r="K32" s="66"/>
      <c r="L32" s="64"/>
      <c r="M32" s="366"/>
      <c r="N32" s="66"/>
      <c r="O32" s="66"/>
      <c r="P32" s="64"/>
      <c r="Q32" s="366"/>
      <c r="R32" s="66"/>
      <c r="S32" s="66"/>
      <c r="T32" s="64"/>
      <c r="U32" s="366"/>
      <c r="V32" s="66"/>
      <c r="W32" s="66"/>
      <c r="X32" s="64"/>
      <c r="Y32" s="366"/>
      <c r="Z32" s="66"/>
      <c r="AA32" s="66"/>
    </row>
    <row r="33" spans="1:31">
      <c r="A33" s="14"/>
      <c r="B33" s="31"/>
      <c r="C33" s="192" t="s">
        <v>71</v>
      </c>
      <c r="D33" s="67" t="s">
        <v>11</v>
      </c>
      <c r="E33" s="29">
        <v>768</v>
      </c>
      <c r="F33" s="32">
        <v>29</v>
      </c>
      <c r="G33" s="32">
        <f t="shared" ref="G33:G38" si="11">K33+O33+S33+W33+AA33</f>
        <v>22272</v>
      </c>
      <c r="H33" s="67"/>
      <c r="I33" s="67">
        <v>25</v>
      </c>
      <c r="J33" s="32">
        <f t="shared" ref="J33:J38" si="12">$F33</f>
        <v>29</v>
      </c>
      <c r="K33" s="32">
        <f t="shared" ref="K33:K38" si="13">I33*J33</f>
        <v>725</v>
      </c>
      <c r="L33" s="67"/>
      <c r="M33" s="67">
        <v>182</v>
      </c>
      <c r="N33" s="32">
        <f t="shared" ref="N33:N38" si="14">$F33</f>
        <v>29</v>
      </c>
      <c r="O33" s="32">
        <f t="shared" ref="O33:O38" si="15">M33*N33</f>
        <v>5278</v>
      </c>
      <c r="P33" s="67"/>
      <c r="Q33" s="67">
        <v>234</v>
      </c>
      <c r="R33" s="32">
        <f t="shared" ref="R33:R38" si="16">$F33</f>
        <v>29</v>
      </c>
      <c r="S33" s="32">
        <f t="shared" ref="S33:S38" si="17">Q33*R33</f>
        <v>6786</v>
      </c>
      <c r="T33" s="67"/>
      <c r="U33" s="67">
        <v>290</v>
      </c>
      <c r="V33" s="32">
        <f t="shared" ref="V33:V38" si="18">$F33</f>
        <v>29</v>
      </c>
      <c r="W33" s="32">
        <f t="shared" ref="W33:W38" si="19">U33*V33</f>
        <v>8410</v>
      </c>
      <c r="X33" s="67"/>
      <c r="Y33" s="67">
        <v>37</v>
      </c>
      <c r="Z33" s="32">
        <f t="shared" ref="Z33:Z38" si="20">$F33</f>
        <v>29</v>
      </c>
      <c r="AA33" s="32">
        <f t="shared" ref="AA33:AA38" si="21">Y33*Z33</f>
        <v>1073</v>
      </c>
      <c r="AB33" s="22"/>
    </row>
    <row r="34" spans="1:31">
      <c r="A34" s="14"/>
      <c r="B34" s="31"/>
      <c r="C34" s="192" t="s">
        <v>362</v>
      </c>
      <c r="D34" s="67" t="s">
        <v>70</v>
      </c>
      <c r="E34" s="29">
        <v>57</v>
      </c>
      <c r="F34" s="32">
        <v>35</v>
      </c>
      <c r="G34" s="32">
        <f t="shared" si="11"/>
        <v>1995</v>
      </c>
      <c r="H34" s="67"/>
      <c r="I34" s="67">
        <v>0</v>
      </c>
      <c r="J34" s="32">
        <f t="shared" si="12"/>
        <v>35</v>
      </c>
      <c r="K34" s="32">
        <f t="shared" si="13"/>
        <v>0</v>
      </c>
      <c r="L34" s="67"/>
      <c r="M34" s="67">
        <v>13</v>
      </c>
      <c r="N34" s="32">
        <f t="shared" si="14"/>
        <v>35</v>
      </c>
      <c r="O34" s="32">
        <f t="shared" si="15"/>
        <v>455</v>
      </c>
      <c r="P34" s="67"/>
      <c r="Q34" s="67">
        <v>7</v>
      </c>
      <c r="R34" s="32">
        <f t="shared" si="16"/>
        <v>35</v>
      </c>
      <c r="S34" s="32">
        <f t="shared" si="17"/>
        <v>245</v>
      </c>
      <c r="T34" s="67"/>
      <c r="U34" s="67">
        <v>37</v>
      </c>
      <c r="V34" s="32">
        <f t="shared" si="18"/>
        <v>35</v>
      </c>
      <c r="W34" s="32">
        <f t="shared" si="19"/>
        <v>1295</v>
      </c>
      <c r="X34" s="67"/>
      <c r="Y34" s="67">
        <v>0</v>
      </c>
      <c r="Z34" s="32">
        <f t="shared" si="20"/>
        <v>35</v>
      </c>
      <c r="AA34" s="32">
        <f t="shared" si="21"/>
        <v>0</v>
      </c>
      <c r="AB34" s="22"/>
    </row>
    <row r="35" spans="1:31">
      <c r="A35" s="14"/>
      <c r="B35" s="31"/>
      <c r="C35" s="192" t="s">
        <v>363</v>
      </c>
      <c r="D35" s="67" t="s">
        <v>70</v>
      </c>
      <c r="E35" s="29">
        <v>90</v>
      </c>
      <c r="F35" s="32">
        <v>25</v>
      </c>
      <c r="G35" s="32">
        <f t="shared" si="11"/>
        <v>2250</v>
      </c>
      <c r="H35" s="67"/>
      <c r="I35" s="67">
        <v>0</v>
      </c>
      <c r="J35" s="32">
        <f t="shared" si="12"/>
        <v>25</v>
      </c>
      <c r="K35" s="32">
        <f t="shared" si="13"/>
        <v>0</v>
      </c>
      <c r="L35" s="67"/>
      <c r="M35" s="67">
        <v>17</v>
      </c>
      <c r="N35" s="32">
        <f t="shared" si="14"/>
        <v>25</v>
      </c>
      <c r="O35" s="32">
        <f t="shared" si="15"/>
        <v>425</v>
      </c>
      <c r="P35" s="67"/>
      <c r="Q35" s="67">
        <v>62</v>
      </c>
      <c r="R35" s="32">
        <f t="shared" si="16"/>
        <v>25</v>
      </c>
      <c r="S35" s="32">
        <f t="shared" si="17"/>
        <v>1550</v>
      </c>
      <c r="T35" s="67"/>
      <c r="U35" s="67">
        <v>0</v>
      </c>
      <c r="V35" s="32">
        <f t="shared" si="18"/>
        <v>25</v>
      </c>
      <c r="W35" s="32">
        <f t="shared" si="19"/>
        <v>0</v>
      </c>
      <c r="X35" s="67"/>
      <c r="Y35" s="67">
        <v>11</v>
      </c>
      <c r="Z35" s="32">
        <f t="shared" si="20"/>
        <v>25</v>
      </c>
      <c r="AA35" s="32">
        <f t="shared" si="21"/>
        <v>275</v>
      </c>
      <c r="AB35" s="22"/>
    </row>
    <row r="36" spans="1:31">
      <c r="A36" s="14"/>
      <c r="B36" s="31"/>
      <c r="C36" s="192" t="s">
        <v>713</v>
      </c>
      <c r="D36" s="67" t="s">
        <v>69</v>
      </c>
      <c r="E36" s="29">
        <v>29</v>
      </c>
      <c r="F36" s="32">
        <v>155</v>
      </c>
      <c r="G36" s="32">
        <f t="shared" si="11"/>
        <v>4495</v>
      </c>
      <c r="H36" s="67"/>
      <c r="I36" s="67">
        <v>1</v>
      </c>
      <c r="J36" s="32">
        <f t="shared" si="12"/>
        <v>155</v>
      </c>
      <c r="K36" s="32">
        <f t="shared" si="13"/>
        <v>155</v>
      </c>
      <c r="L36" s="67"/>
      <c r="M36" s="67">
        <v>2</v>
      </c>
      <c r="N36" s="32">
        <f t="shared" si="14"/>
        <v>155</v>
      </c>
      <c r="O36" s="32">
        <f t="shared" si="15"/>
        <v>310</v>
      </c>
      <c r="P36" s="67"/>
      <c r="Q36" s="67">
        <v>8</v>
      </c>
      <c r="R36" s="32">
        <f t="shared" si="16"/>
        <v>155</v>
      </c>
      <c r="S36" s="32">
        <f t="shared" si="17"/>
        <v>1240</v>
      </c>
      <c r="T36" s="67"/>
      <c r="U36" s="67">
        <v>16</v>
      </c>
      <c r="V36" s="32">
        <f t="shared" si="18"/>
        <v>155</v>
      </c>
      <c r="W36" s="32">
        <f t="shared" si="19"/>
        <v>2480</v>
      </c>
      <c r="X36" s="67"/>
      <c r="Y36" s="67">
        <v>2</v>
      </c>
      <c r="Z36" s="32">
        <f t="shared" si="20"/>
        <v>155</v>
      </c>
      <c r="AA36" s="32">
        <f t="shared" si="21"/>
        <v>310</v>
      </c>
      <c r="AB36" s="22"/>
    </row>
    <row r="37" spans="1:31">
      <c r="A37" s="14"/>
      <c r="B37" s="31"/>
      <c r="C37" s="192" t="s">
        <v>903</v>
      </c>
      <c r="D37" s="67" t="s">
        <v>69</v>
      </c>
      <c r="E37" s="29">
        <v>28</v>
      </c>
      <c r="F37" s="32">
        <v>30</v>
      </c>
      <c r="G37" s="32">
        <f t="shared" si="11"/>
        <v>840</v>
      </c>
      <c r="H37" s="67"/>
      <c r="I37" s="67">
        <v>0</v>
      </c>
      <c r="J37" s="32">
        <f t="shared" si="12"/>
        <v>30</v>
      </c>
      <c r="K37" s="32">
        <f t="shared" si="13"/>
        <v>0</v>
      </c>
      <c r="L37" s="67"/>
      <c r="M37" s="67">
        <v>11</v>
      </c>
      <c r="N37" s="32">
        <f t="shared" si="14"/>
        <v>30</v>
      </c>
      <c r="O37" s="32">
        <f t="shared" si="15"/>
        <v>330</v>
      </c>
      <c r="P37" s="67"/>
      <c r="Q37" s="67">
        <v>13</v>
      </c>
      <c r="R37" s="32">
        <f t="shared" si="16"/>
        <v>30</v>
      </c>
      <c r="S37" s="32">
        <f t="shared" si="17"/>
        <v>390</v>
      </c>
      <c r="T37" s="67"/>
      <c r="U37" s="67">
        <v>4</v>
      </c>
      <c r="V37" s="32">
        <f t="shared" si="18"/>
        <v>30</v>
      </c>
      <c r="W37" s="32">
        <f t="shared" si="19"/>
        <v>120</v>
      </c>
      <c r="X37" s="67"/>
      <c r="Y37" s="67">
        <v>0</v>
      </c>
      <c r="Z37" s="32">
        <f t="shared" si="20"/>
        <v>30</v>
      </c>
      <c r="AA37" s="32">
        <f t="shared" si="21"/>
        <v>0</v>
      </c>
      <c r="AB37" s="22"/>
    </row>
    <row r="38" spans="1:31">
      <c r="A38" s="14"/>
      <c r="B38" s="31"/>
      <c r="C38" s="192" t="s">
        <v>712</v>
      </c>
      <c r="D38" s="67" t="s">
        <v>69</v>
      </c>
      <c r="E38" s="29">
        <v>2</v>
      </c>
      <c r="F38" s="32">
        <v>280</v>
      </c>
      <c r="G38" s="32">
        <f t="shared" si="11"/>
        <v>560</v>
      </c>
      <c r="H38" s="67"/>
      <c r="I38" s="67">
        <v>0</v>
      </c>
      <c r="J38" s="32">
        <f t="shared" si="12"/>
        <v>280</v>
      </c>
      <c r="K38" s="32">
        <f t="shared" si="13"/>
        <v>0</v>
      </c>
      <c r="L38" s="67"/>
      <c r="M38" s="67">
        <v>2</v>
      </c>
      <c r="N38" s="32">
        <f t="shared" si="14"/>
        <v>280</v>
      </c>
      <c r="O38" s="32">
        <f t="shared" si="15"/>
        <v>560</v>
      </c>
      <c r="P38" s="67"/>
      <c r="Q38" s="67">
        <v>0</v>
      </c>
      <c r="R38" s="32">
        <f t="shared" si="16"/>
        <v>280</v>
      </c>
      <c r="S38" s="32">
        <f t="shared" si="17"/>
        <v>0</v>
      </c>
      <c r="T38" s="67"/>
      <c r="U38" s="67">
        <v>0</v>
      </c>
      <c r="V38" s="32">
        <f t="shared" si="18"/>
        <v>280</v>
      </c>
      <c r="W38" s="32">
        <f t="shared" si="19"/>
        <v>0</v>
      </c>
      <c r="X38" s="67"/>
      <c r="Y38" s="67">
        <v>0</v>
      </c>
      <c r="Z38" s="32">
        <f t="shared" si="20"/>
        <v>280</v>
      </c>
      <c r="AA38" s="32">
        <f t="shared" si="21"/>
        <v>0</v>
      </c>
      <c r="AB38" s="22"/>
    </row>
    <row r="39" spans="1:31">
      <c r="A39" s="14"/>
      <c r="B39" s="31"/>
      <c r="C39" s="28"/>
      <c r="D39" s="67"/>
      <c r="E39" s="67"/>
      <c r="F39" s="32"/>
      <c r="G39" s="32"/>
      <c r="H39" s="67"/>
      <c r="I39" s="67"/>
      <c r="J39" s="32"/>
      <c r="K39" s="32"/>
      <c r="L39" s="67"/>
      <c r="M39" s="67"/>
      <c r="N39" s="32"/>
      <c r="O39" s="32"/>
      <c r="P39" s="67"/>
      <c r="Q39" s="67"/>
      <c r="R39" s="32"/>
      <c r="S39" s="32"/>
      <c r="T39" s="67"/>
      <c r="U39" s="67"/>
      <c r="V39" s="32"/>
      <c r="W39" s="32"/>
      <c r="X39" s="67"/>
      <c r="Y39" s="67"/>
      <c r="Z39" s="32"/>
      <c r="AA39" s="32"/>
    </row>
    <row r="40" spans="1:31">
      <c r="A40" s="35"/>
      <c r="B40" s="27"/>
      <c r="C40" s="38" t="s">
        <v>79</v>
      </c>
      <c r="D40" s="68"/>
      <c r="E40" s="369"/>
      <c r="F40" s="33" t="s">
        <v>10</v>
      </c>
      <c r="G40" s="34">
        <f>K40+O40+S40+W40+AA40</f>
        <v>32412</v>
      </c>
      <c r="H40" s="68"/>
      <c r="I40" s="369"/>
      <c r="J40" s="33" t="s">
        <v>10</v>
      </c>
      <c r="K40" s="34">
        <f>SUM(K32:K39)</f>
        <v>880</v>
      </c>
      <c r="L40" s="68"/>
      <c r="M40" s="369"/>
      <c r="N40" s="33" t="s">
        <v>10</v>
      </c>
      <c r="O40" s="34">
        <f>SUM(O32:O39)</f>
        <v>7358</v>
      </c>
      <c r="P40" s="68"/>
      <c r="Q40" s="369"/>
      <c r="R40" s="33" t="s">
        <v>10</v>
      </c>
      <c r="S40" s="34">
        <f>SUM(S32:S39)</f>
        <v>10211</v>
      </c>
      <c r="T40" s="68"/>
      <c r="U40" s="369"/>
      <c r="V40" s="33" t="s">
        <v>10</v>
      </c>
      <c r="W40" s="34">
        <f>SUM(W32:W39)</f>
        <v>12305</v>
      </c>
      <c r="X40" s="68"/>
      <c r="Y40" s="369"/>
      <c r="Z40" s="33" t="s">
        <v>10</v>
      </c>
      <c r="AA40" s="34">
        <f>SUM(AA32:AA39)</f>
        <v>1658</v>
      </c>
    </row>
    <row r="41" spans="1:31">
      <c r="A41" s="35"/>
      <c r="B41" s="27"/>
      <c r="C41" s="36"/>
      <c r="D41" s="68"/>
      <c r="E41" s="369"/>
      <c r="F41" s="33"/>
      <c r="G41" s="34"/>
      <c r="H41" s="68"/>
      <c r="I41" s="369"/>
      <c r="J41" s="33"/>
      <c r="K41" s="34"/>
      <c r="L41" s="68"/>
      <c r="M41" s="369"/>
      <c r="N41" s="33"/>
      <c r="O41" s="34"/>
      <c r="P41" s="68"/>
      <c r="Q41" s="369"/>
      <c r="R41" s="33"/>
      <c r="S41" s="34"/>
      <c r="T41" s="68"/>
      <c r="U41" s="369"/>
      <c r="V41" s="33"/>
      <c r="W41" s="34"/>
      <c r="X41" s="68"/>
      <c r="Y41" s="369"/>
      <c r="Z41" s="33"/>
      <c r="AA41" s="34"/>
    </row>
    <row r="42" spans="1:31">
      <c r="A42" s="14"/>
      <c r="B42" s="31"/>
      <c r="C42" s="28"/>
      <c r="D42" s="67"/>
      <c r="E42" s="67"/>
      <c r="F42" s="33"/>
      <c r="G42" s="34"/>
      <c r="H42" s="67"/>
      <c r="I42" s="67"/>
      <c r="J42" s="33"/>
      <c r="K42" s="34"/>
      <c r="L42" s="67"/>
      <c r="M42" s="67"/>
      <c r="N42" s="33"/>
      <c r="O42" s="34"/>
      <c r="P42" s="67"/>
      <c r="Q42" s="67"/>
      <c r="R42" s="33"/>
      <c r="S42" s="34"/>
      <c r="T42" s="67"/>
      <c r="U42" s="67"/>
      <c r="V42" s="33"/>
      <c r="W42" s="34"/>
      <c r="X42" s="67"/>
      <c r="Y42" s="67"/>
      <c r="Z42" s="33"/>
      <c r="AA42" s="34"/>
    </row>
    <row r="43" spans="1:31">
      <c r="A43" s="61"/>
      <c r="B43" s="62" t="s">
        <v>78</v>
      </c>
      <c r="C43" s="63" t="s">
        <v>56</v>
      </c>
      <c r="D43" s="64"/>
      <c r="E43" s="366"/>
      <c r="F43" s="66"/>
      <c r="G43" s="66"/>
      <c r="H43" s="64"/>
      <c r="I43" s="366"/>
      <c r="J43" s="66"/>
      <c r="K43" s="66"/>
      <c r="L43" s="64"/>
      <c r="M43" s="366"/>
      <c r="N43" s="66"/>
      <c r="O43" s="66"/>
      <c r="P43" s="64"/>
      <c r="Q43" s="366"/>
      <c r="R43" s="66"/>
      <c r="S43" s="66"/>
      <c r="T43" s="64"/>
      <c r="U43" s="366"/>
      <c r="V43" s="66"/>
      <c r="W43" s="66"/>
      <c r="X43" s="64"/>
      <c r="Y43" s="366"/>
      <c r="Z43" s="66"/>
      <c r="AA43" s="66"/>
    </row>
    <row r="44" spans="1:31">
      <c r="A44" s="14"/>
      <c r="B44" s="31"/>
      <c r="C44" s="28" t="s">
        <v>63</v>
      </c>
      <c r="D44" s="67" t="s">
        <v>11</v>
      </c>
      <c r="E44" s="29">
        <v>2699</v>
      </c>
      <c r="F44" s="40">
        <v>12.8</v>
      </c>
      <c r="G44" s="32">
        <f t="shared" ref="G44:G52" si="22">K44+O44+S44+W44+AA44</f>
        <v>34547.200000000004</v>
      </c>
      <c r="H44" s="67"/>
      <c r="I44" s="67">
        <v>111</v>
      </c>
      <c r="J44" s="32">
        <f t="shared" ref="J44:J52" si="23">$F44</f>
        <v>12.8</v>
      </c>
      <c r="K44" s="32">
        <f t="shared" ref="K44:K52" si="24">I44*J44</f>
        <v>1420.8000000000002</v>
      </c>
      <c r="L44" s="67"/>
      <c r="M44" s="67">
        <v>761</v>
      </c>
      <c r="N44" s="32">
        <f t="shared" ref="N44:N52" si="25">$F44</f>
        <v>12.8</v>
      </c>
      <c r="O44" s="32">
        <f t="shared" ref="O44:O52" si="26">M44*N44</f>
        <v>9740.8000000000011</v>
      </c>
      <c r="P44" s="67"/>
      <c r="Q44" s="67">
        <v>470</v>
      </c>
      <c r="R44" s="32">
        <f t="shared" ref="R44:R53" si="27">$F44</f>
        <v>12.8</v>
      </c>
      <c r="S44" s="32">
        <f t="shared" ref="S44:S53" si="28">Q44*R44</f>
        <v>6016</v>
      </c>
      <c r="T44" s="67"/>
      <c r="U44" s="67">
        <v>1063</v>
      </c>
      <c r="V44" s="32">
        <f t="shared" ref="V44:V52" si="29">$F44</f>
        <v>12.8</v>
      </c>
      <c r="W44" s="32">
        <f t="shared" ref="W44:W52" si="30">U44*V44</f>
        <v>13606.400000000001</v>
      </c>
      <c r="X44" s="67"/>
      <c r="Y44" s="67">
        <v>294</v>
      </c>
      <c r="Z44" s="32">
        <f t="shared" ref="Z44:Z52" si="31">$F44</f>
        <v>12.8</v>
      </c>
      <c r="AA44" s="32">
        <f t="shared" ref="AA44:AA52" si="32">Y44*Z44</f>
        <v>3763.2000000000003</v>
      </c>
      <c r="AC44" s="22"/>
      <c r="AD44" s="22"/>
      <c r="AE44" s="22"/>
    </row>
    <row r="45" spans="1:31">
      <c r="A45" s="14"/>
      <c r="B45" s="31"/>
      <c r="C45" s="28" t="s">
        <v>62</v>
      </c>
      <c r="D45" s="67" t="s">
        <v>11</v>
      </c>
      <c r="E45" s="29">
        <v>754</v>
      </c>
      <c r="F45" s="40">
        <v>13</v>
      </c>
      <c r="G45" s="32">
        <f t="shared" si="22"/>
        <v>9802</v>
      </c>
      <c r="H45" s="67"/>
      <c r="I45" s="67">
        <v>16</v>
      </c>
      <c r="J45" s="32">
        <f t="shared" si="23"/>
        <v>13</v>
      </c>
      <c r="K45" s="32">
        <f t="shared" si="24"/>
        <v>208</v>
      </c>
      <c r="L45" s="67"/>
      <c r="M45" s="67">
        <v>130</v>
      </c>
      <c r="N45" s="32">
        <f t="shared" si="25"/>
        <v>13</v>
      </c>
      <c r="O45" s="32">
        <f t="shared" si="26"/>
        <v>1690</v>
      </c>
      <c r="P45" s="67"/>
      <c r="Q45" s="67">
        <v>261</v>
      </c>
      <c r="R45" s="32">
        <f t="shared" si="27"/>
        <v>13</v>
      </c>
      <c r="S45" s="32">
        <f t="shared" si="28"/>
        <v>3393</v>
      </c>
      <c r="T45" s="67"/>
      <c r="U45" s="67">
        <v>306</v>
      </c>
      <c r="V45" s="32">
        <f t="shared" si="29"/>
        <v>13</v>
      </c>
      <c r="W45" s="32">
        <f t="shared" si="30"/>
        <v>3978</v>
      </c>
      <c r="X45" s="67"/>
      <c r="Y45" s="67">
        <v>41</v>
      </c>
      <c r="Z45" s="32">
        <f t="shared" si="31"/>
        <v>13</v>
      </c>
      <c r="AA45" s="32">
        <f t="shared" si="32"/>
        <v>533</v>
      </c>
      <c r="AC45" s="22"/>
      <c r="AD45" s="22"/>
      <c r="AE45" s="22"/>
    </row>
    <row r="46" spans="1:31">
      <c r="A46" s="14"/>
      <c r="B46" s="31"/>
      <c r="C46" s="28" t="s">
        <v>820</v>
      </c>
      <c r="D46" s="67" t="s">
        <v>11</v>
      </c>
      <c r="E46" s="29">
        <v>143</v>
      </c>
      <c r="F46" s="40">
        <v>11</v>
      </c>
      <c r="G46" s="32">
        <f t="shared" si="22"/>
        <v>1573</v>
      </c>
      <c r="H46" s="67"/>
      <c r="I46" s="67">
        <v>0</v>
      </c>
      <c r="J46" s="32">
        <f t="shared" si="23"/>
        <v>11</v>
      </c>
      <c r="K46" s="32">
        <f t="shared" si="24"/>
        <v>0</v>
      </c>
      <c r="L46" s="67"/>
      <c r="M46" s="67">
        <v>0</v>
      </c>
      <c r="N46" s="32">
        <f t="shared" si="25"/>
        <v>11</v>
      </c>
      <c r="O46" s="32">
        <f t="shared" si="26"/>
        <v>0</v>
      </c>
      <c r="P46" s="67"/>
      <c r="Q46" s="67">
        <v>143</v>
      </c>
      <c r="R46" s="32">
        <f t="shared" si="27"/>
        <v>11</v>
      </c>
      <c r="S46" s="32">
        <f t="shared" si="28"/>
        <v>1573</v>
      </c>
      <c r="T46" s="67"/>
      <c r="U46" s="67">
        <v>0</v>
      </c>
      <c r="V46" s="32">
        <f t="shared" si="29"/>
        <v>11</v>
      </c>
      <c r="W46" s="32">
        <f t="shared" si="30"/>
        <v>0</v>
      </c>
      <c r="X46" s="67"/>
      <c r="Y46" s="67">
        <v>0</v>
      </c>
      <c r="Z46" s="32">
        <f t="shared" si="31"/>
        <v>11</v>
      </c>
      <c r="AA46" s="32">
        <f t="shared" si="32"/>
        <v>0</v>
      </c>
      <c r="AC46" s="22"/>
      <c r="AD46" s="22"/>
      <c r="AE46" s="22"/>
    </row>
    <row r="47" spans="1:31">
      <c r="A47" s="14"/>
      <c r="B47" s="31"/>
      <c r="C47" s="28" t="s">
        <v>818</v>
      </c>
      <c r="D47" s="67" t="s">
        <v>11</v>
      </c>
      <c r="E47" s="29">
        <v>181</v>
      </c>
      <c r="F47" s="40">
        <v>11</v>
      </c>
      <c r="G47" s="32">
        <f t="shared" si="22"/>
        <v>1991</v>
      </c>
      <c r="H47" s="67"/>
      <c r="I47" s="67">
        <v>42</v>
      </c>
      <c r="J47" s="32">
        <f t="shared" si="23"/>
        <v>11</v>
      </c>
      <c r="K47" s="32">
        <f t="shared" si="24"/>
        <v>462</v>
      </c>
      <c r="L47" s="67"/>
      <c r="M47" s="67">
        <v>0</v>
      </c>
      <c r="N47" s="32">
        <f t="shared" si="25"/>
        <v>11</v>
      </c>
      <c r="O47" s="32">
        <f t="shared" si="26"/>
        <v>0</v>
      </c>
      <c r="P47" s="67"/>
      <c r="Q47" s="67">
        <v>104</v>
      </c>
      <c r="R47" s="32">
        <f t="shared" si="27"/>
        <v>11</v>
      </c>
      <c r="S47" s="32">
        <f t="shared" si="28"/>
        <v>1144</v>
      </c>
      <c r="T47" s="67"/>
      <c r="U47" s="67">
        <v>27</v>
      </c>
      <c r="V47" s="32">
        <f t="shared" si="29"/>
        <v>11</v>
      </c>
      <c r="W47" s="32">
        <f t="shared" si="30"/>
        <v>297</v>
      </c>
      <c r="X47" s="67"/>
      <c r="Y47" s="67">
        <v>8</v>
      </c>
      <c r="Z47" s="32">
        <f t="shared" si="31"/>
        <v>11</v>
      </c>
      <c r="AA47" s="32">
        <f t="shared" si="32"/>
        <v>88</v>
      </c>
      <c r="AC47" s="22"/>
      <c r="AD47" s="22"/>
      <c r="AE47" s="22"/>
    </row>
    <row r="48" spans="1:31">
      <c r="A48" s="14"/>
      <c r="B48" s="31"/>
      <c r="C48" s="28" t="s">
        <v>64</v>
      </c>
      <c r="D48" s="67" t="s">
        <v>6</v>
      </c>
      <c r="E48" s="29">
        <v>5</v>
      </c>
      <c r="F48" s="40">
        <v>2800</v>
      </c>
      <c r="G48" s="32">
        <f t="shared" si="22"/>
        <v>14000</v>
      </c>
      <c r="H48" s="67"/>
      <c r="I48" s="67">
        <v>1</v>
      </c>
      <c r="J48" s="32">
        <f t="shared" si="23"/>
        <v>2800</v>
      </c>
      <c r="K48" s="32">
        <f t="shared" si="24"/>
        <v>2800</v>
      </c>
      <c r="L48" s="67"/>
      <c r="M48" s="67">
        <v>1</v>
      </c>
      <c r="N48" s="32">
        <f t="shared" si="25"/>
        <v>2800</v>
      </c>
      <c r="O48" s="32">
        <f t="shared" si="26"/>
        <v>2800</v>
      </c>
      <c r="P48" s="67"/>
      <c r="Q48" s="67">
        <v>1</v>
      </c>
      <c r="R48" s="32">
        <f t="shared" si="27"/>
        <v>2800</v>
      </c>
      <c r="S48" s="32">
        <f t="shared" si="28"/>
        <v>2800</v>
      </c>
      <c r="T48" s="67"/>
      <c r="U48" s="67">
        <v>1</v>
      </c>
      <c r="V48" s="32">
        <f t="shared" si="29"/>
        <v>2800</v>
      </c>
      <c r="W48" s="32">
        <f t="shared" si="30"/>
        <v>2800</v>
      </c>
      <c r="X48" s="67"/>
      <c r="Y48" s="67">
        <v>1</v>
      </c>
      <c r="Z48" s="32">
        <f t="shared" si="31"/>
        <v>2800</v>
      </c>
      <c r="AA48" s="32">
        <f t="shared" si="32"/>
        <v>2800</v>
      </c>
      <c r="AC48" s="22"/>
      <c r="AD48" s="22"/>
      <c r="AE48" s="22"/>
    </row>
    <row r="49" spans="1:31">
      <c r="A49" s="14"/>
      <c r="B49" s="31"/>
      <c r="C49" s="28" t="s">
        <v>65</v>
      </c>
      <c r="D49" s="67" t="s">
        <v>6</v>
      </c>
      <c r="E49" s="29">
        <v>5</v>
      </c>
      <c r="F49" s="40">
        <v>750</v>
      </c>
      <c r="G49" s="32">
        <f t="shared" si="22"/>
        <v>3750</v>
      </c>
      <c r="H49" s="67"/>
      <c r="I49" s="67">
        <v>1</v>
      </c>
      <c r="J49" s="32">
        <f t="shared" si="23"/>
        <v>750</v>
      </c>
      <c r="K49" s="32">
        <f t="shared" si="24"/>
        <v>750</v>
      </c>
      <c r="L49" s="67"/>
      <c r="M49" s="67">
        <v>1</v>
      </c>
      <c r="N49" s="32">
        <f t="shared" si="25"/>
        <v>750</v>
      </c>
      <c r="O49" s="32">
        <f t="shared" si="26"/>
        <v>750</v>
      </c>
      <c r="P49" s="67"/>
      <c r="Q49" s="67">
        <v>1</v>
      </c>
      <c r="R49" s="32">
        <f t="shared" si="27"/>
        <v>750</v>
      </c>
      <c r="S49" s="32">
        <f t="shared" si="28"/>
        <v>750</v>
      </c>
      <c r="T49" s="67"/>
      <c r="U49" s="67">
        <v>1</v>
      </c>
      <c r="V49" s="32">
        <f t="shared" si="29"/>
        <v>750</v>
      </c>
      <c r="W49" s="32">
        <f t="shared" si="30"/>
        <v>750</v>
      </c>
      <c r="X49" s="67"/>
      <c r="Y49" s="67">
        <v>1</v>
      </c>
      <c r="Z49" s="32">
        <f t="shared" si="31"/>
        <v>750</v>
      </c>
      <c r="AA49" s="32">
        <f t="shared" si="32"/>
        <v>750</v>
      </c>
      <c r="AC49" s="22"/>
      <c r="AD49" s="22"/>
      <c r="AE49" s="22"/>
    </row>
    <row r="50" spans="1:31">
      <c r="A50" s="14"/>
      <c r="B50" s="31"/>
      <c r="C50" s="28" t="s">
        <v>715</v>
      </c>
      <c r="D50" s="67" t="s">
        <v>6</v>
      </c>
      <c r="E50" s="29">
        <v>1</v>
      </c>
      <c r="F50" s="40">
        <v>2500</v>
      </c>
      <c r="G50" s="32">
        <f t="shared" si="22"/>
        <v>2500</v>
      </c>
      <c r="H50" s="67"/>
      <c r="I50" s="67">
        <v>1</v>
      </c>
      <c r="J50" s="32">
        <f t="shared" si="23"/>
        <v>2500</v>
      </c>
      <c r="K50" s="32">
        <f t="shared" si="24"/>
        <v>2500</v>
      </c>
      <c r="L50" s="67"/>
      <c r="M50" s="67">
        <v>0</v>
      </c>
      <c r="N50" s="32">
        <f t="shared" si="25"/>
        <v>2500</v>
      </c>
      <c r="O50" s="32">
        <f t="shared" si="26"/>
        <v>0</v>
      </c>
      <c r="P50" s="67"/>
      <c r="Q50" s="67">
        <v>0</v>
      </c>
      <c r="R50" s="32">
        <f t="shared" si="27"/>
        <v>2500</v>
      </c>
      <c r="S50" s="32">
        <f t="shared" si="28"/>
        <v>0</v>
      </c>
      <c r="T50" s="67"/>
      <c r="U50" s="67">
        <v>0</v>
      </c>
      <c r="V50" s="32">
        <f t="shared" si="29"/>
        <v>2500</v>
      </c>
      <c r="W50" s="32">
        <f t="shared" si="30"/>
        <v>0</v>
      </c>
      <c r="X50" s="67"/>
      <c r="Y50" s="67">
        <v>0</v>
      </c>
      <c r="Z50" s="32">
        <f t="shared" si="31"/>
        <v>2500</v>
      </c>
      <c r="AA50" s="32">
        <f t="shared" si="32"/>
        <v>0</v>
      </c>
      <c r="AC50" s="22"/>
      <c r="AD50" s="22"/>
      <c r="AE50" s="22"/>
    </row>
    <row r="51" spans="1:31">
      <c r="A51" s="14"/>
      <c r="B51" s="31"/>
      <c r="C51" s="28" t="s">
        <v>66</v>
      </c>
      <c r="D51" s="67" t="s">
        <v>69</v>
      </c>
      <c r="E51" s="29">
        <v>63</v>
      </c>
      <c r="F51" s="40">
        <v>65</v>
      </c>
      <c r="G51" s="32">
        <f t="shared" si="22"/>
        <v>4095</v>
      </c>
      <c r="H51" s="67"/>
      <c r="I51" s="67">
        <v>6</v>
      </c>
      <c r="J51" s="32">
        <f t="shared" si="23"/>
        <v>65</v>
      </c>
      <c r="K51" s="32">
        <f t="shared" si="24"/>
        <v>390</v>
      </c>
      <c r="L51" s="67"/>
      <c r="M51" s="67">
        <v>14</v>
      </c>
      <c r="N51" s="32">
        <f t="shared" si="25"/>
        <v>65</v>
      </c>
      <c r="O51" s="32">
        <f t="shared" si="26"/>
        <v>910</v>
      </c>
      <c r="P51" s="67"/>
      <c r="Q51" s="67">
        <v>20</v>
      </c>
      <c r="R51" s="32">
        <f t="shared" si="27"/>
        <v>65</v>
      </c>
      <c r="S51" s="32">
        <f t="shared" si="28"/>
        <v>1300</v>
      </c>
      <c r="T51" s="67"/>
      <c r="U51" s="67">
        <v>20</v>
      </c>
      <c r="V51" s="32">
        <f t="shared" si="29"/>
        <v>65</v>
      </c>
      <c r="W51" s="32">
        <f t="shared" si="30"/>
        <v>1300</v>
      </c>
      <c r="X51" s="67"/>
      <c r="Y51" s="67">
        <v>3</v>
      </c>
      <c r="Z51" s="32">
        <f t="shared" si="31"/>
        <v>65</v>
      </c>
      <c r="AA51" s="32">
        <f t="shared" si="32"/>
        <v>195</v>
      </c>
      <c r="AC51" s="22"/>
      <c r="AD51" s="22"/>
      <c r="AE51" s="22"/>
    </row>
    <row r="52" spans="1:31">
      <c r="A52" s="14"/>
      <c r="B52" s="31"/>
      <c r="C52" s="358" t="s">
        <v>138</v>
      </c>
      <c r="D52" s="359" t="s">
        <v>11</v>
      </c>
      <c r="E52" s="29">
        <v>115</v>
      </c>
      <c r="F52" s="361">
        <v>25</v>
      </c>
      <c r="G52" s="32">
        <f t="shared" si="22"/>
        <v>2875</v>
      </c>
      <c r="H52" s="67"/>
      <c r="I52" s="67">
        <v>0</v>
      </c>
      <c r="J52" s="32">
        <f t="shared" si="23"/>
        <v>25</v>
      </c>
      <c r="K52" s="32">
        <f t="shared" si="24"/>
        <v>0</v>
      </c>
      <c r="L52" s="67"/>
      <c r="M52" s="67">
        <v>0</v>
      </c>
      <c r="N52" s="32">
        <f t="shared" si="25"/>
        <v>25</v>
      </c>
      <c r="O52" s="32">
        <f t="shared" si="26"/>
        <v>0</v>
      </c>
      <c r="P52" s="67"/>
      <c r="Q52" s="67">
        <v>115</v>
      </c>
      <c r="R52" s="32">
        <f t="shared" si="27"/>
        <v>25</v>
      </c>
      <c r="S52" s="32">
        <f t="shared" si="28"/>
        <v>2875</v>
      </c>
      <c r="T52" s="67"/>
      <c r="U52" s="67">
        <v>0</v>
      </c>
      <c r="V52" s="32">
        <f t="shared" si="29"/>
        <v>25</v>
      </c>
      <c r="W52" s="32">
        <f t="shared" si="30"/>
        <v>0</v>
      </c>
      <c r="X52" s="67"/>
      <c r="Y52" s="67">
        <v>0</v>
      </c>
      <c r="Z52" s="32">
        <f t="shared" si="31"/>
        <v>25</v>
      </c>
      <c r="AA52" s="32">
        <f t="shared" si="32"/>
        <v>0</v>
      </c>
      <c r="AC52" s="22"/>
      <c r="AD52" s="22"/>
      <c r="AE52" s="22"/>
    </row>
    <row r="53" spans="1:31">
      <c r="A53" s="14"/>
      <c r="B53" s="31"/>
      <c r="C53" s="28"/>
      <c r="D53" s="67"/>
      <c r="E53" s="67"/>
      <c r="F53" s="32"/>
      <c r="G53" s="32"/>
      <c r="H53" s="67"/>
      <c r="I53" s="67"/>
      <c r="J53" s="32"/>
      <c r="K53" s="32"/>
      <c r="L53" s="67"/>
      <c r="M53" s="67"/>
      <c r="N53" s="32"/>
      <c r="O53" s="32"/>
      <c r="P53" s="67"/>
      <c r="Q53" s="67"/>
      <c r="R53" s="32">
        <f t="shared" si="27"/>
        <v>0</v>
      </c>
      <c r="S53" s="32">
        <f t="shared" si="28"/>
        <v>0</v>
      </c>
      <c r="T53" s="67"/>
      <c r="U53" s="67"/>
      <c r="V53" s="32"/>
      <c r="W53" s="32"/>
      <c r="X53" s="67"/>
      <c r="Y53" s="67"/>
      <c r="Z53" s="32"/>
      <c r="AA53" s="32"/>
      <c r="AC53" s="22"/>
      <c r="AD53" s="22"/>
      <c r="AE53" s="22"/>
    </row>
    <row r="54" spans="1:31">
      <c r="A54" s="35"/>
      <c r="B54" s="27"/>
      <c r="C54" s="38" t="s">
        <v>59</v>
      </c>
      <c r="D54" s="68"/>
      <c r="E54" s="369"/>
      <c r="F54" s="33" t="s">
        <v>10</v>
      </c>
      <c r="G54" s="34">
        <f>K54+O54+S54+W54+AA54</f>
        <v>75133.2</v>
      </c>
      <c r="H54" s="68"/>
      <c r="I54" s="369"/>
      <c r="J54" s="33" t="s">
        <v>10</v>
      </c>
      <c r="K54" s="34">
        <f>SUM(K43:K53)</f>
        <v>8530.7999999999993</v>
      </c>
      <c r="L54" s="68"/>
      <c r="M54" s="369"/>
      <c r="N54" s="33" t="s">
        <v>10</v>
      </c>
      <c r="O54" s="34">
        <f>SUM(O43:O53)</f>
        <v>15890.800000000001</v>
      </c>
      <c r="P54" s="68"/>
      <c r="Q54" s="369"/>
      <c r="R54" s="33" t="s">
        <v>10</v>
      </c>
      <c r="S54" s="34">
        <f>SUM(S43:S53)</f>
        <v>19851</v>
      </c>
      <c r="T54" s="68"/>
      <c r="U54" s="369"/>
      <c r="V54" s="33" t="s">
        <v>10</v>
      </c>
      <c r="W54" s="34">
        <f>SUM(W43:W53)</f>
        <v>22731.4</v>
      </c>
      <c r="X54" s="68"/>
      <c r="Y54" s="369"/>
      <c r="Z54" s="33" t="s">
        <v>10</v>
      </c>
      <c r="AA54" s="34">
        <f>SUM(AA43:AA53)</f>
        <v>8129.2000000000007</v>
      </c>
    </row>
    <row r="55" spans="1:31">
      <c r="A55" s="14"/>
      <c r="B55" s="31"/>
      <c r="C55" s="38"/>
      <c r="D55" s="69"/>
      <c r="E55" s="37"/>
      <c r="F55" s="30"/>
      <c r="G55" s="34"/>
      <c r="H55" s="69"/>
      <c r="I55" s="37"/>
      <c r="J55" s="30"/>
      <c r="K55" s="34"/>
      <c r="M55" s="37"/>
      <c r="N55" s="30"/>
      <c r="O55" s="34"/>
      <c r="Q55" s="37"/>
      <c r="R55" s="30"/>
      <c r="S55" s="34"/>
      <c r="U55" s="37"/>
      <c r="V55" s="30"/>
      <c r="W55" s="34"/>
      <c r="Y55" s="37"/>
      <c r="Z55" s="30"/>
      <c r="AA55" s="34"/>
    </row>
    <row r="56" spans="1:31">
      <c r="A56" s="14"/>
      <c r="B56" s="31"/>
      <c r="C56" s="38"/>
      <c r="D56" s="69"/>
      <c r="E56" s="37"/>
      <c r="F56" s="30"/>
      <c r="G56" s="34"/>
      <c r="H56" s="69"/>
      <c r="I56" s="37"/>
      <c r="J56" s="30"/>
      <c r="K56" s="34"/>
      <c r="M56" s="37"/>
      <c r="N56" s="30"/>
      <c r="O56" s="34"/>
      <c r="Q56" s="37"/>
      <c r="R56" s="30"/>
      <c r="S56" s="34"/>
      <c r="U56" s="37"/>
      <c r="V56" s="30"/>
      <c r="W56" s="34"/>
      <c r="Y56" s="37"/>
      <c r="Z56" s="30"/>
      <c r="AA56" s="34"/>
    </row>
    <row r="57" spans="1:31" ht="6" customHeight="1">
      <c r="A57" s="70"/>
      <c r="B57" s="41"/>
      <c r="C57" s="42"/>
      <c r="D57" s="41"/>
      <c r="E57" s="41"/>
      <c r="F57" s="44"/>
      <c r="G57" s="44"/>
      <c r="H57" s="41"/>
      <c r="I57" s="43"/>
      <c r="J57" s="44"/>
      <c r="K57" s="44"/>
      <c r="L57" s="41"/>
      <c r="M57" s="43"/>
      <c r="N57" s="44"/>
      <c r="O57" s="44"/>
      <c r="P57" s="41"/>
      <c r="Q57" s="43"/>
      <c r="R57" s="44"/>
      <c r="S57" s="44"/>
      <c r="T57" s="41"/>
      <c r="U57" s="43"/>
      <c r="V57" s="44"/>
      <c r="W57" s="44"/>
      <c r="X57" s="41"/>
      <c r="Y57" s="43"/>
      <c r="Z57" s="44"/>
      <c r="AA57" s="44"/>
    </row>
    <row r="58" spans="1:31" s="56" customFormat="1">
      <c r="A58" s="71"/>
      <c r="B58" s="72"/>
      <c r="C58" s="53" t="s">
        <v>7</v>
      </c>
      <c r="D58" s="52"/>
      <c r="E58" s="52"/>
      <c r="F58" s="55"/>
      <c r="G58" s="55">
        <f>K58+O58+S58+W58+AA58</f>
        <v>324986.7</v>
      </c>
      <c r="H58" s="52"/>
      <c r="I58" s="54"/>
      <c r="J58" s="55"/>
      <c r="K58" s="55">
        <f>K9+K54+K40+K29</f>
        <v>20992.7</v>
      </c>
      <c r="L58" s="52"/>
      <c r="M58" s="54"/>
      <c r="N58" s="55"/>
      <c r="O58" s="55">
        <f>O9+O54+O40+O29</f>
        <v>84663</v>
      </c>
      <c r="P58" s="52"/>
      <c r="Q58" s="54"/>
      <c r="R58" s="55"/>
      <c r="S58" s="55">
        <f>S9+S54+S40+S29</f>
        <v>85202.8</v>
      </c>
      <c r="T58" s="52"/>
      <c r="U58" s="54"/>
      <c r="V58" s="55"/>
      <c r="W58" s="55">
        <f>W9+W54+W40+W29</f>
        <v>105844.4</v>
      </c>
      <c r="X58" s="52"/>
      <c r="Y58" s="54"/>
      <c r="Z58" s="55"/>
      <c r="AA58" s="55">
        <f>AA9+AA54+AA40+AA29</f>
        <v>28283.8</v>
      </c>
    </row>
    <row r="59" spans="1:31" s="56" customFormat="1">
      <c r="A59" s="71"/>
      <c r="B59" s="72"/>
      <c r="C59" s="53" t="s">
        <v>8</v>
      </c>
      <c r="D59" s="52"/>
      <c r="E59" s="52"/>
      <c r="F59" s="55"/>
      <c r="G59" s="55">
        <f>G58*0.2</f>
        <v>64997.340000000004</v>
      </c>
      <c r="H59" s="52"/>
      <c r="I59" s="54"/>
      <c r="J59" s="55"/>
      <c r="K59" s="55">
        <f>K58*0.2</f>
        <v>4198.54</v>
      </c>
      <c r="L59" s="52"/>
      <c r="M59" s="54"/>
      <c r="N59" s="55"/>
      <c r="O59" s="55">
        <f>O58*0.2</f>
        <v>16932.600000000002</v>
      </c>
      <c r="P59" s="52"/>
      <c r="Q59" s="54"/>
      <c r="R59" s="55"/>
      <c r="S59" s="55">
        <f>S58*0.2</f>
        <v>17040.560000000001</v>
      </c>
      <c r="T59" s="52"/>
      <c r="U59" s="54"/>
      <c r="V59" s="55"/>
      <c r="W59" s="55">
        <f>W58*0.2</f>
        <v>21168.880000000001</v>
      </c>
      <c r="X59" s="52"/>
      <c r="Y59" s="54"/>
      <c r="Z59" s="55"/>
      <c r="AA59" s="55">
        <f>AA58*0.2</f>
        <v>5656.76</v>
      </c>
    </row>
    <row r="60" spans="1:31" s="56" customFormat="1">
      <c r="A60" s="71"/>
      <c r="B60" s="72"/>
      <c r="C60" s="53" t="s">
        <v>9</v>
      </c>
      <c r="D60" s="52"/>
      <c r="E60" s="52"/>
      <c r="F60" s="55"/>
      <c r="G60" s="55">
        <f>G59+G58</f>
        <v>389984.04000000004</v>
      </c>
      <c r="H60" s="52"/>
      <c r="I60" s="54"/>
      <c r="J60" s="55"/>
      <c r="K60" s="55">
        <f>K59+K58</f>
        <v>25191.24</v>
      </c>
      <c r="L60" s="52"/>
      <c r="M60" s="54"/>
      <c r="N60" s="55"/>
      <c r="O60" s="55">
        <f>O59+O58</f>
        <v>101595.6</v>
      </c>
      <c r="P60" s="52"/>
      <c r="Q60" s="54"/>
      <c r="R60" s="55"/>
      <c r="S60" s="55">
        <f>S59+S58</f>
        <v>102243.36</v>
      </c>
      <c r="T60" s="52"/>
      <c r="U60" s="54"/>
      <c r="V60" s="55"/>
      <c r="W60" s="55">
        <f>W59+W58</f>
        <v>127013.28</v>
      </c>
      <c r="X60" s="52"/>
      <c r="Y60" s="54"/>
      <c r="Z60" s="55"/>
      <c r="AA60" s="55">
        <f>AA59+AA58</f>
        <v>33940.559999999998</v>
      </c>
    </row>
    <row r="61" spans="1:31" ht="6.6" customHeight="1">
      <c r="A61" s="73"/>
      <c r="B61" s="74"/>
      <c r="C61" s="45"/>
      <c r="D61" s="46"/>
      <c r="E61" s="51"/>
      <c r="F61" s="48"/>
      <c r="G61" s="48"/>
      <c r="H61" s="46"/>
      <c r="I61" s="47"/>
      <c r="J61" s="48"/>
      <c r="K61" s="48"/>
      <c r="L61" s="49"/>
      <c r="M61" s="50"/>
      <c r="N61" s="48"/>
      <c r="O61" s="48"/>
      <c r="P61" s="49"/>
      <c r="Q61" s="50"/>
      <c r="R61" s="48"/>
      <c r="S61" s="48"/>
      <c r="T61" s="49"/>
      <c r="U61" s="50"/>
      <c r="V61" s="48"/>
      <c r="W61" s="48"/>
      <c r="X61" s="49"/>
      <c r="Y61" s="50"/>
      <c r="Z61" s="48"/>
      <c r="AA61" s="48"/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AB26"/>
  <sheetViews>
    <sheetView showGridLines="0" view="pageBreakPreview" zoomScale="70" zoomScaleNormal="85" zoomScaleSheetLayoutView="70" workbookViewId="0">
      <pane ySplit="5" topLeftCell="A6" activePane="bottomLeft" state="frozen"/>
      <selection activeCell="C15" sqref="C15:I15"/>
      <selection pane="bottomLeft" activeCell="Q33" sqref="Q33"/>
    </sheetView>
  </sheetViews>
  <sheetFormatPr baseColWidth="10" defaultColWidth="11.44140625" defaultRowHeight="14.4"/>
  <cols>
    <col min="1" max="1" width="3.33203125" style="2" customWidth="1"/>
    <col min="2" max="2" width="2.6640625" style="3" bestFit="1" customWidth="1"/>
    <col min="3" max="3" width="54.33203125" style="24" customWidth="1"/>
    <col min="4" max="4" width="4.5546875" style="1" bestFit="1" customWidth="1"/>
    <col min="5" max="5" width="7.88671875" style="1" customWidth="1"/>
    <col min="6" max="6" width="12" style="1" bestFit="1" customWidth="1"/>
    <col min="7" max="7" width="14.5546875" style="1" bestFit="1" customWidth="1"/>
    <col min="8" max="8" width="2.6640625" style="1" customWidth="1"/>
    <col min="9" max="9" width="7.5546875" style="1" bestFit="1" customWidth="1"/>
    <col min="10" max="10" width="14.6640625" style="1" bestFit="1" customWidth="1"/>
    <col min="11" max="11" width="14.5546875" style="1" customWidth="1"/>
    <col min="12" max="12" width="2.6640625" style="1" customWidth="1"/>
    <col min="13" max="13" width="7.5546875" style="1" bestFit="1" customWidth="1"/>
    <col min="14" max="14" width="11.44140625" style="1" bestFit="1" customWidth="1"/>
    <col min="15" max="15" width="14.44140625" style="1" bestFit="1" customWidth="1"/>
    <col min="16" max="16" width="2.6640625" style="1" customWidth="1"/>
    <col min="17" max="17" width="7.5546875" style="1" bestFit="1" customWidth="1"/>
    <col min="18" max="18" width="11.44140625" style="1" bestFit="1" customWidth="1"/>
    <col min="19" max="19" width="14.44140625" style="1" bestFit="1" customWidth="1"/>
    <col min="20" max="20" width="2.6640625" style="1" customWidth="1"/>
    <col min="21" max="21" width="7.5546875" style="1" bestFit="1" customWidth="1"/>
    <col min="22" max="22" width="11.44140625" style="1" bestFit="1" customWidth="1"/>
    <col min="23" max="23" width="14.44140625" style="1" bestFit="1" customWidth="1"/>
    <col min="24" max="24" width="2.6640625" style="1" customWidth="1"/>
    <col min="25" max="25" width="7.5546875" style="1" bestFit="1" customWidth="1"/>
    <col min="26" max="26" width="11.44140625" style="1" bestFit="1" customWidth="1"/>
    <col min="27" max="27" width="14.44140625" style="1" bestFit="1" customWidth="1"/>
    <col min="28" max="28" width="14.5546875" style="1" bestFit="1" customWidth="1"/>
    <col min="29" max="29" width="12.109375" style="1" bestFit="1" customWidth="1"/>
    <col min="30" max="30" width="11.44140625" style="1"/>
    <col min="31" max="31" width="15" style="1" customWidth="1"/>
    <col min="32" max="16384" width="11.44140625" style="1"/>
  </cols>
  <sheetData>
    <row r="1" spans="1:28" ht="23.25" customHeight="1">
      <c r="A1" s="566" t="s">
        <v>388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8"/>
    </row>
    <row r="2" spans="1:28" ht="8.4" customHeight="1">
      <c r="A2" s="15"/>
      <c r="C2" s="3"/>
      <c r="D2" s="3"/>
      <c r="E2" s="3"/>
      <c r="F2" s="3"/>
      <c r="G2" s="2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23"/>
    </row>
    <row r="3" spans="1:28" ht="19.5" customHeight="1">
      <c r="A3" s="16"/>
      <c r="C3" s="203" t="str">
        <f>'Page de garde'!C15</f>
        <v>IND 00 du 10/06/2025</v>
      </c>
      <c r="E3" s="569" t="s">
        <v>12</v>
      </c>
      <c r="F3" s="570"/>
      <c r="G3" s="571"/>
      <c r="I3" s="572" t="s">
        <v>30</v>
      </c>
      <c r="J3" s="573"/>
      <c r="K3" s="574"/>
      <c r="M3" s="572" t="s">
        <v>31</v>
      </c>
      <c r="N3" s="573"/>
      <c r="O3" s="574"/>
      <c r="Q3" s="572" t="s">
        <v>33</v>
      </c>
      <c r="R3" s="573"/>
      <c r="S3" s="574"/>
      <c r="U3" s="572" t="s">
        <v>34</v>
      </c>
      <c r="V3" s="573"/>
      <c r="W3" s="574"/>
      <c r="Y3" s="572" t="s">
        <v>35</v>
      </c>
      <c r="Z3" s="573"/>
      <c r="AA3" s="574"/>
    </row>
    <row r="4" spans="1:28" ht="19.5" customHeight="1">
      <c r="A4" s="16"/>
      <c r="E4" s="76"/>
      <c r="F4" s="77"/>
      <c r="G4" s="78" t="s">
        <v>11</v>
      </c>
      <c r="I4" s="57"/>
      <c r="J4" s="58"/>
      <c r="K4" s="59" t="s">
        <v>11</v>
      </c>
      <c r="M4" s="60"/>
      <c r="N4" s="58"/>
      <c r="O4" s="59" t="s">
        <v>11</v>
      </c>
      <c r="Q4" s="60"/>
      <c r="R4" s="58"/>
      <c r="S4" s="59" t="s">
        <v>11</v>
      </c>
      <c r="U4" s="60"/>
      <c r="V4" s="58"/>
      <c r="W4" s="59" t="s">
        <v>11</v>
      </c>
      <c r="Y4" s="60"/>
      <c r="Z4" s="58"/>
      <c r="AA4" s="59" t="s">
        <v>11</v>
      </c>
    </row>
    <row r="5" spans="1:28" s="17" customFormat="1" ht="24">
      <c r="A5" s="565" t="s">
        <v>1</v>
      </c>
      <c r="B5" s="565"/>
      <c r="C5" s="25" t="s">
        <v>2</v>
      </c>
      <c r="D5" s="18" t="s">
        <v>0</v>
      </c>
      <c r="E5" s="79" t="s">
        <v>3</v>
      </c>
      <c r="F5" s="79" t="s">
        <v>4</v>
      </c>
      <c r="G5" s="79" t="s">
        <v>5</v>
      </c>
      <c r="H5" s="18"/>
      <c r="I5" s="19" t="s">
        <v>3</v>
      </c>
      <c r="J5" s="19" t="s">
        <v>4</v>
      </c>
      <c r="K5" s="19" t="s">
        <v>5</v>
      </c>
      <c r="L5" s="20"/>
      <c r="M5" s="19" t="s">
        <v>3</v>
      </c>
      <c r="N5" s="19" t="s">
        <v>4</v>
      </c>
      <c r="O5" s="19" t="s">
        <v>5</v>
      </c>
      <c r="P5" s="20"/>
      <c r="Q5" s="19" t="s">
        <v>3</v>
      </c>
      <c r="R5" s="19" t="s">
        <v>4</v>
      </c>
      <c r="S5" s="19" t="s">
        <v>5</v>
      </c>
      <c r="T5" s="20"/>
      <c r="U5" s="19" t="s">
        <v>3</v>
      </c>
      <c r="V5" s="19" t="s">
        <v>4</v>
      </c>
      <c r="W5" s="19" t="s">
        <v>5</v>
      </c>
      <c r="X5" s="20"/>
      <c r="Y5" s="19" t="s">
        <v>3</v>
      </c>
      <c r="Z5" s="19" t="s">
        <v>4</v>
      </c>
      <c r="AA5" s="19" t="s">
        <v>5</v>
      </c>
    </row>
    <row r="6" spans="1:28">
      <c r="A6" s="61"/>
      <c r="B6" s="62" t="s">
        <v>19</v>
      </c>
      <c r="C6" s="63" t="s">
        <v>55</v>
      </c>
      <c r="D6" s="64"/>
      <c r="E6" s="65"/>
      <c r="F6" s="66"/>
      <c r="G6" s="66"/>
      <c r="H6" s="64"/>
      <c r="I6" s="65"/>
      <c r="J6" s="66"/>
      <c r="K6" s="66"/>
      <c r="L6" s="26"/>
      <c r="M6" s="65"/>
      <c r="N6" s="66"/>
      <c r="O6" s="66"/>
      <c r="P6" s="26"/>
      <c r="Q6" s="65"/>
      <c r="R6" s="66"/>
      <c r="S6" s="66"/>
      <c r="T6" s="26"/>
      <c r="U6" s="65"/>
      <c r="V6" s="66"/>
      <c r="W6" s="66"/>
      <c r="X6" s="26"/>
      <c r="Y6" s="65"/>
      <c r="Z6" s="66"/>
      <c r="AA6" s="66"/>
    </row>
    <row r="7" spans="1:28">
      <c r="A7" s="14"/>
      <c r="B7" s="31"/>
      <c r="C7" s="192" t="s">
        <v>67</v>
      </c>
      <c r="D7" s="67" t="s">
        <v>11</v>
      </c>
      <c r="E7" s="29">
        <f>I7+M7+Q7+U7+Y7</f>
        <v>237</v>
      </c>
      <c r="F7" s="32">
        <v>23.6</v>
      </c>
      <c r="G7" s="32">
        <f>K7+O7+S7+W7+AA7</f>
        <v>5593.2000000000007</v>
      </c>
      <c r="H7" s="67"/>
      <c r="I7" s="29">
        <v>9</v>
      </c>
      <c r="J7" s="32">
        <f>F7</f>
        <v>23.6</v>
      </c>
      <c r="K7" s="32">
        <f>I7*J7</f>
        <v>212.4</v>
      </c>
      <c r="M7" s="39">
        <v>66</v>
      </c>
      <c r="N7" s="32">
        <f>F7</f>
        <v>23.6</v>
      </c>
      <c r="O7" s="32">
        <f>M7*N7</f>
        <v>1557.6000000000001</v>
      </c>
      <c r="Q7" s="39">
        <v>81</v>
      </c>
      <c r="R7" s="32">
        <f>F7</f>
        <v>23.6</v>
      </c>
      <c r="S7" s="32">
        <f>Q7*R7</f>
        <v>1911.6000000000001</v>
      </c>
      <c r="U7" s="39">
        <v>37</v>
      </c>
      <c r="V7" s="32">
        <f>F7</f>
        <v>23.6</v>
      </c>
      <c r="W7" s="32">
        <f>U7*V7</f>
        <v>873.2</v>
      </c>
      <c r="Y7" s="29">
        <v>44</v>
      </c>
      <c r="Z7" s="32">
        <f>F7</f>
        <v>23.6</v>
      </c>
      <c r="AA7" s="32">
        <f>Y7*Z7</f>
        <v>1038.4000000000001</v>
      </c>
    </row>
    <row r="8" spans="1:28">
      <c r="A8" s="14"/>
      <c r="B8" s="31"/>
      <c r="C8" s="192" t="s">
        <v>68</v>
      </c>
      <c r="D8" s="67" t="s">
        <v>11</v>
      </c>
      <c r="E8" s="29">
        <f t="shared" ref="E8:E11" si="0">I8+M8+Q8+U8+Y8</f>
        <v>145</v>
      </c>
      <c r="F8" s="32">
        <v>23.6</v>
      </c>
      <c r="G8" s="32">
        <f>K8+O8+S8+W8+AA8</f>
        <v>3422.0000000000005</v>
      </c>
      <c r="H8" s="67"/>
      <c r="I8" s="29">
        <v>0</v>
      </c>
      <c r="J8" s="32">
        <f t="shared" ref="J8:J13" si="1">F8</f>
        <v>23.6</v>
      </c>
      <c r="K8" s="32">
        <f>I8*J8</f>
        <v>0</v>
      </c>
      <c r="M8" s="29">
        <v>55</v>
      </c>
      <c r="N8" s="32">
        <f t="shared" ref="N8:N13" si="2">F8</f>
        <v>23.6</v>
      </c>
      <c r="O8" s="32">
        <f>M8*N8</f>
        <v>1298</v>
      </c>
      <c r="Q8" s="29">
        <v>14</v>
      </c>
      <c r="R8" s="32">
        <f t="shared" ref="R8:R13" si="3">F8</f>
        <v>23.6</v>
      </c>
      <c r="S8" s="32">
        <f>Q8*R8</f>
        <v>330.40000000000003</v>
      </c>
      <c r="U8" s="29">
        <v>63</v>
      </c>
      <c r="V8" s="32">
        <f t="shared" ref="V8:V13" si="4">F8</f>
        <v>23.6</v>
      </c>
      <c r="W8" s="32">
        <f>U8*V8</f>
        <v>1486.8000000000002</v>
      </c>
      <c r="Y8" s="29">
        <v>13</v>
      </c>
      <c r="Z8" s="32">
        <f t="shared" ref="Z8:Z13" si="5">F8</f>
        <v>23.6</v>
      </c>
      <c r="AA8" s="32">
        <f>Y8*Z8</f>
        <v>306.8</v>
      </c>
      <c r="AB8" s="22"/>
    </row>
    <row r="9" spans="1:28">
      <c r="A9" s="14"/>
      <c r="B9" s="31"/>
      <c r="C9" s="192" t="s">
        <v>817</v>
      </c>
      <c r="D9" s="67" t="s">
        <v>11</v>
      </c>
      <c r="E9" s="29">
        <f t="shared" ref="E9" si="6">I9+M9+Q9+U9+Y9</f>
        <v>120</v>
      </c>
      <c r="F9" s="32">
        <v>41.6</v>
      </c>
      <c r="G9" s="32">
        <f>K9+O9+S9+W9+AA9</f>
        <v>4992</v>
      </c>
      <c r="H9" s="67"/>
      <c r="I9" s="29">
        <v>0</v>
      </c>
      <c r="J9" s="32">
        <f t="shared" ref="J9" si="7">F9</f>
        <v>41.6</v>
      </c>
      <c r="K9" s="32">
        <f>I9*J9</f>
        <v>0</v>
      </c>
      <c r="M9" s="29">
        <v>52</v>
      </c>
      <c r="N9" s="32">
        <f t="shared" ref="N9" si="8">F9</f>
        <v>41.6</v>
      </c>
      <c r="O9" s="32">
        <f>M9*N9</f>
        <v>2163.2000000000003</v>
      </c>
      <c r="Q9" s="29">
        <v>68</v>
      </c>
      <c r="R9" s="32">
        <f t="shared" ref="R9" si="9">F9</f>
        <v>41.6</v>
      </c>
      <c r="S9" s="32">
        <f>Q9*R9</f>
        <v>2828.8</v>
      </c>
      <c r="U9" s="29">
        <v>0</v>
      </c>
      <c r="V9" s="32">
        <f t="shared" ref="V9" si="10">F9</f>
        <v>41.6</v>
      </c>
      <c r="W9" s="32">
        <f>U9*V9</f>
        <v>0</v>
      </c>
      <c r="Y9" s="29">
        <v>0</v>
      </c>
      <c r="Z9" s="32">
        <f t="shared" ref="Z9" si="11">F9</f>
        <v>41.6</v>
      </c>
      <c r="AA9" s="32">
        <f>Y9*Z9</f>
        <v>0</v>
      </c>
      <c r="AB9" s="22"/>
    </row>
    <row r="10" spans="1:28">
      <c r="A10" s="14"/>
      <c r="B10" s="31"/>
      <c r="C10" s="192" t="s">
        <v>73</v>
      </c>
      <c r="D10" s="67" t="s">
        <v>11</v>
      </c>
      <c r="E10" s="29">
        <f t="shared" si="0"/>
        <v>261</v>
      </c>
      <c r="F10" s="32">
        <v>30</v>
      </c>
      <c r="G10" s="32">
        <f t="shared" ref="G10:G11" si="12">K10+O10+S10+W10+AA10</f>
        <v>7830</v>
      </c>
      <c r="H10" s="67"/>
      <c r="I10" s="29">
        <v>10</v>
      </c>
      <c r="J10" s="32">
        <f t="shared" si="1"/>
        <v>30</v>
      </c>
      <c r="K10" s="32">
        <f t="shared" ref="K10:K11" si="13">I10*J10</f>
        <v>300</v>
      </c>
      <c r="M10" s="29">
        <f>17+104</f>
        <v>121</v>
      </c>
      <c r="N10" s="32">
        <f t="shared" si="2"/>
        <v>30</v>
      </c>
      <c r="O10" s="32">
        <f t="shared" ref="O10:O11" si="14">M10*N10</f>
        <v>3630</v>
      </c>
      <c r="Q10" s="29">
        <v>85</v>
      </c>
      <c r="R10" s="32">
        <f t="shared" si="3"/>
        <v>30</v>
      </c>
      <c r="S10" s="32">
        <f t="shared" ref="S10:S11" si="15">Q10*R10</f>
        <v>2550</v>
      </c>
      <c r="U10" s="29">
        <v>36</v>
      </c>
      <c r="V10" s="32">
        <f t="shared" si="4"/>
        <v>30</v>
      </c>
      <c r="W10" s="32">
        <f t="shared" ref="W10:W11" si="16">U10*V10</f>
        <v>1080</v>
      </c>
      <c r="Y10" s="29">
        <v>9</v>
      </c>
      <c r="Z10" s="32">
        <f t="shared" si="5"/>
        <v>30</v>
      </c>
      <c r="AA10" s="32">
        <f t="shared" ref="AA10:AA11" si="17">Y10*Z10</f>
        <v>270</v>
      </c>
      <c r="AB10" s="22"/>
    </row>
    <row r="11" spans="1:28">
      <c r="A11" s="14"/>
      <c r="B11" s="31"/>
      <c r="C11" s="192" t="s">
        <v>72</v>
      </c>
      <c r="D11" s="67" t="s">
        <v>11</v>
      </c>
      <c r="E11" s="29">
        <f t="shared" si="0"/>
        <v>144</v>
      </c>
      <c r="F11" s="32">
        <v>34.5</v>
      </c>
      <c r="G11" s="32">
        <f t="shared" si="12"/>
        <v>4968</v>
      </c>
      <c r="H11" s="67"/>
      <c r="I11" s="29">
        <v>0</v>
      </c>
      <c r="J11" s="32">
        <f t="shared" si="1"/>
        <v>34.5</v>
      </c>
      <c r="K11" s="32">
        <f t="shared" si="13"/>
        <v>0</v>
      </c>
      <c r="M11" s="29">
        <v>30</v>
      </c>
      <c r="N11" s="32">
        <f t="shared" si="2"/>
        <v>34.5</v>
      </c>
      <c r="O11" s="32">
        <f t="shared" si="14"/>
        <v>1035</v>
      </c>
      <c r="Q11" s="29">
        <v>0</v>
      </c>
      <c r="R11" s="32">
        <f t="shared" si="3"/>
        <v>34.5</v>
      </c>
      <c r="S11" s="32">
        <f t="shared" si="15"/>
        <v>0</v>
      </c>
      <c r="U11" s="29">
        <v>114</v>
      </c>
      <c r="V11" s="32">
        <f t="shared" si="4"/>
        <v>34.5</v>
      </c>
      <c r="W11" s="32">
        <f t="shared" si="16"/>
        <v>3933</v>
      </c>
      <c r="Y11" s="29">
        <v>0</v>
      </c>
      <c r="Z11" s="32">
        <f t="shared" si="5"/>
        <v>34.5</v>
      </c>
      <c r="AA11" s="32">
        <f t="shared" si="17"/>
        <v>0</v>
      </c>
      <c r="AB11" s="22"/>
    </row>
    <row r="12" spans="1:28">
      <c r="A12" s="14"/>
      <c r="B12" s="31"/>
      <c r="C12" s="192" t="s">
        <v>711</v>
      </c>
      <c r="D12" s="67" t="s">
        <v>69</v>
      </c>
      <c r="E12" s="29">
        <f>I12+M12+Q12+U12+Y12</f>
        <v>8</v>
      </c>
      <c r="F12" s="32">
        <v>273.5</v>
      </c>
      <c r="G12" s="32">
        <f t="shared" ref="G12:G13" si="18">K12+O12+S12+W12+AA12</f>
        <v>2188</v>
      </c>
      <c r="H12" s="67"/>
      <c r="I12" s="29">
        <v>8</v>
      </c>
      <c r="J12" s="32">
        <f t="shared" si="1"/>
        <v>273.5</v>
      </c>
      <c r="K12" s="32">
        <f t="shared" ref="K12:K13" si="19">I12*J12</f>
        <v>2188</v>
      </c>
      <c r="M12" s="29">
        <v>0</v>
      </c>
      <c r="N12" s="32">
        <f t="shared" si="2"/>
        <v>273.5</v>
      </c>
      <c r="O12" s="32">
        <f t="shared" ref="O12:O13" si="20">M12*N12</f>
        <v>0</v>
      </c>
      <c r="Q12" s="29">
        <v>0</v>
      </c>
      <c r="R12" s="32">
        <f t="shared" si="3"/>
        <v>273.5</v>
      </c>
      <c r="S12" s="32">
        <f t="shared" ref="S12:S13" si="21">Q12*R12</f>
        <v>0</v>
      </c>
      <c r="U12" s="29">
        <v>0</v>
      </c>
      <c r="V12" s="32">
        <f t="shared" si="4"/>
        <v>273.5</v>
      </c>
      <c r="W12" s="32">
        <f t="shared" ref="W12:W13" si="22">U12*V12</f>
        <v>0</v>
      </c>
      <c r="Y12" s="29">
        <v>0</v>
      </c>
      <c r="Z12" s="32">
        <f t="shared" si="5"/>
        <v>273.5</v>
      </c>
      <c r="AA12" s="32">
        <f t="shared" ref="AA12:AA13" si="23">Y12*Z12</f>
        <v>0</v>
      </c>
      <c r="AB12" s="22"/>
    </row>
    <row r="13" spans="1:28">
      <c r="A13" s="14"/>
      <c r="B13" s="31"/>
      <c r="C13" s="192" t="s">
        <v>819</v>
      </c>
      <c r="D13" s="67" t="s">
        <v>6</v>
      </c>
      <c r="E13" s="29">
        <f>I13+M13+Q13+U13+Y13</f>
        <v>1</v>
      </c>
      <c r="F13" s="32">
        <v>300</v>
      </c>
      <c r="G13" s="32">
        <f t="shared" si="18"/>
        <v>300</v>
      </c>
      <c r="H13" s="67"/>
      <c r="I13" s="29">
        <v>1</v>
      </c>
      <c r="J13" s="32">
        <f t="shared" si="1"/>
        <v>300</v>
      </c>
      <c r="K13" s="32">
        <f t="shared" si="19"/>
        <v>300</v>
      </c>
      <c r="M13" s="29">
        <v>0</v>
      </c>
      <c r="N13" s="32">
        <f t="shared" si="2"/>
        <v>300</v>
      </c>
      <c r="O13" s="32">
        <f t="shared" si="20"/>
        <v>0</v>
      </c>
      <c r="Q13" s="29">
        <v>0</v>
      </c>
      <c r="R13" s="32">
        <f t="shared" si="3"/>
        <v>300</v>
      </c>
      <c r="S13" s="32">
        <f t="shared" si="21"/>
        <v>0</v>
      </c>
      <c r="U13" s="29">
        <v>0</v>
      </c>
      <c r="V13" s="32">
        <f t="shared" si="4"/>
        <v>300</v>
      </c>
      <c r="W13" s="32">
        <f t="shared" si="22"/>
        <v>0</v>
      </c>
      <c r="Y13" s="29">
        <v>0</v>
      </c>
      <c r="Z13" s="32">
        <f t="shared" si="5"/>
        <v>300</v>
      </c>
      <c r="AA13" s="32">
        <f t="shared" si="23"/>
        <v>0</v>
      </c>
      <c r="AB13" s="22"/>
    </row>
    <row r="14" spans="1:28">
      <c r="A14" s="14"/>
      <c r="B14" s="31"/>
      <c r="C14" s="28"/>
      <c r="D14" s="67"/>
      <c r="E14" s="29"/>
      <c r="F14" s="32"/>
      <c r="G14" s="32"/>
      <c r="H14" s="67"/>
      <c r="I14" s="29"/>
      <c r="J14" s="32"/>
      <c r="K14" s="32"/>
      <c r="M14" s="29"/>
      <c r="N14" s="32"/>
      <c r="O14" s="32"/>
      <c r="Q14" s="29"/>
      <c r="R14" s="32"/>
      <c r="S14" s="32"/>
      <c r="U14" s="29"/>
      <c r="V14" s="32"/>
      <c r="W14" s="32"/>
      <c r="Y14" s="29"/>
      <c r="Z14" s="32"/>
      <c r="AA14" s="32"/>
    </row>
    <row r="15" spans="1:28">
      <c r="A15" s="35"/>
      <c r="B15" s="27"/>
      <c r="C15" s="38" t="s">
        <v>79</v>
      </c>
      <c r="D15" s="68"/>
      <c r="E15" s="37"/>
      <c r="F15" s="33" t="s">
        <v>10</v>
      </c>
      <c r="G15" s="34">
        <f>K15+O15+S15+W15+AA15</f>
        <v>29293.200000000001</v>
      </c>
      <c r="H15" s="68"/>
      <c r="I15" s="37"/>
      <c r="J15" s="33" t="s">
        <v>10</v>
      </c>
      <c r="K15" s="34">
        <f>SUM(K6:K14)</f>
        <v>3000.4</v>
      </c>
      <c r="M15" s="37"/>
      <c r="N15" s="33" t="s">
        <v>10</v>
      </c>
      <c r="O15" s="34">
        <f>SUM(O6:O14)</f>
        <v>9683.8000000000011</v>
      </c>
      <c r="Q15" s="37"/>
      <c r="R15" s="33" t="s">
        <v>10</v>
      </c>
      <c r="S15" s="34">
        <f>SUM(S6:S14)</f>
        <v>7620.8</v>
      </c>
      <c r="U15" s="37"/>
      <c r="V15" s="33" t="s">
        <v>10</v>
      </c>
      <c r="W15" s="34">
        <f>SUM(W6:W14)</f>
        <v>7373</v>
      </c>
      <c r="Y15" s="37"/>
      <c r="Z15" s="33" t="s">
        <v>10</v>
      </c>
      <c r="AA15" s="34">
        <f>SUM(AA6:AA14)</f>
        <v>1615.2</v>
      </c>
    </row>
    <row r="16" spans="1:28">
      <c r="A16" s="14"/>
      <c r="B16" s="31"/>
      <c r="C16" s="38"/>
      <c r="D16" s="69"/>
      <c r="E16" s="37"/>
      <c r="F16" s="30"/>
      <c r="G16" s="34"/>
      <c r="H16" s="69"/>
      <c r="I16" s="37"/>
      <c r="J16" s="30"/>
      <c r="K16" s="34"/>
      <c r="M16" s="37"/>
      <c r="N16" s="30"/>
      <c r="O16" s="34"/>
      <c r="Q16" s="37"/>
      <c r="R16" s="30"/>
      <c r="S16" s="34"/>
      <c r="U16" s="37"/>
      <c r="V16" s="30"/>
      <c r="W16" s="34"/>
      <c r="Y16" s="37"/>
      <c r="Z16" s="30"/>
      <c r="AA16" s="34"/>
    </row>
    <row r="17" spans="1:27">
      <c r="A17" s="14"/>
      <c r="B17" s="31"/>
      <c r="C17" s="38"/>
      <c r="D17" s="69"/>
      <c r="E17" s="37"/>
      <c r="F17" s="30"/>
      <c r="G17" s="34"/>
      <c r="H17" s="69"/>
      <c r="I17" s="37"/>
      <c r="J17" s="30"/>
      <c r="K17" s="34"/>
      <c r="M17" s="37"/>
      <c r="N17" s="30"/>
      <c r="O17" s="34"/>
      <c r="Q17" s="37"/>
      <c r="R17" s="30"/>
      <c r="S17" s="34"/>
      <c r="U17" s="37"/>
      <c r="V17" s="30"/>
      <c r="W17" s="34"/>
      <c r="Y17" s="37"/>
      <c r="Z17" s="30"/>
      <c r="AA17" s="34"/>
    </row>
    <row r="18" spans="1:27">
      <c r="A18" s="35"/>
      <c r="B18" s="458"/>
      <c r="C18" s="446" t="s">
        <v>1051</v>
      </c>
      <c r="D18" s="447" t="s">
        <v>6</v>
      </c>
      <c r="E18" s="448">
        <v>1</v>
      </c>
      <c r="F18" s="453">
        <f>28800-29293.2</f>
        <v>-493.20000000000073</v>
      </c>
      <c r="G18" s="427">
        <f>E18*F18</f>
        <v>-493.20000000000073</v>
      </c>
      <c r="H18" s="449"/>
      <c r="I18" s="450">
        <v>0.1</v>
      </c>
      <c r="J18" s="453">
        <f>F18</f>
        <v>-493.20000000000073</v>
      </c>
      <c r="K18" s="427">
        <f t="shared" ref="K18" si="24">I18*J18</f>
        <v>-49.320000000000078</v>
      </c>
      <c r="L18" s="459"/>
      <c r="M18" s="450">
        <v>0.33</v>
      </c>
      <c r="N18" s="453">
        <f>F18</f>
        <v>-493.20000000000073</v>
      </c>
      <c r="O18" s="427">
        <f t="shared" ref="O18" si="25">M18*N18</f>
        <v>-162.75600000000026</v>
      </c>
      <c r="P18" s="459"/>
      <c r="Q18" s="450">
        <v>0.26</v>
      </c>
      <c r="R18" s="453">
        <f>F18</f>
        <v>-493.20000000000073</v>
      </c>
      <c r="S18" s="427">
        <f t="shared" ref="S18" si="26">Q18*R18</f>
        <v>-128.2320000000002</v>
      </c>
      <c r="T18" s="459"/>
      <c r="U18" s="450">
        <v>0.25</v>
      </c>
      <c r="V18" s="453">
        <f>F18</f>
        <v>-493.20000000000073</v>
      </c>
      <c r="W18" s="427">
        <f t="shared" ref="W18" si="27">U18*V18</f>
        <v>-123.30000000000018</v>
      </c>
      <c r="X18" s="459"/>
      <c r="Y18" s="450">
        <v>0.06</v>
      </c>
      <c r="Z18" s="453">
        <f>F18</f>
        <v>-493.20000000000073</v>
      </c>
      <c r="AA18" s="427">
        <f t="shared" ref="AA18" si="28">Y18*Z18</f>
        <v>-29.592000000000041</v>
      </c>
    </row>
    <row r="19" spans="1:27">
      <c r="A19" s="14"/>
      <c r="B19" s="31"/>
      <c r="C19" s="38"/>
      <c r="D19" s="69"/>
      <c r="E19" s="37"/>
      <c r="F19" s="30"/>
      <c r="G19" s="34"/>
      <c r="H19" s="69"/>
      <c r="I19" s="37"/>
      <c r="J19" s="30"/>
      <c r="K19" s="34"/>
      <c r="M19" s="37"/>
      <c r="N19" s="30"/>
      <c r="O19" s="34"/>
      <c r="Q19" s="37"/>
      <c r="R19" s="30"/>
      <c r="S19" s="34"/>
      <c r="U19" s="37"/>
      <c r="V19" s="30"/>
      <c r="W19" s="34"/>
      <c r="Y19" s="37"/>
      <c r="Z19" s="30"/>
      <c r="AA19" s="34"/>
    </row>
    <row r="20" spans="1:27">
      <c r="A20" s="14"/>
      <c r="B20" s="31"/>
      <c r="C20" s="38"/>
      <c r="D20" s="69"/>
      <c r="E20" s="37"/>
      <c r="F20" s="30"/>
      <c r="G20" s="34"/>
      <c r="H20" s="69"/>
      <c r="I20" s="37"/>
      <c r="J20" s="30"/>
      <c r="K20" s="34"/>
      <c r="M20" s="37"/>
      <c r="N20" s="30"/>
      <c r="O20" s="34"/>
      <c r="Q20" s="37"/>
      <c r="R20" s="30"/>
      <c r="S20" s="34"/>
      <c r="U20" s="37"/>
      <c r="V20" s="30"/>
      <c r="W20" s="34"/>
      <c r="Y20" s="37"/>
      <c r="Z20" s="30"/>
      <c r="AA20" s="34"/>
    </row>
    <row r="21" spans="1:27">
      <c r="A21" s="14"/>
      <c r="B21" s="31"/>
      <c r="C21" s="38"/>
      <c r="D21" s="69"/>
      <c r="E21" s="37"/>
      <c r="F21" s="30"/>
      <c r="G21" s="34"/>
      <c r="H21" s="69"/>
      <c r="I21" s="37"/>
      <c r="J21" s="30"/>
      <c r="K21" s="34"/>
      <c r="M21" s="37"/>
      <c r="N21" s="30"/>
      <c r="O21" s="34"/>
      <c r="Q21" s="37"/>
      <c r="R21" s="30"/>
      <c r="S21" s="34"/>
      <c r="U21" s="37"/>
      <c r="V21" s="30"/>
      <c r="W21" s="34"/>
      <c r="Y21" s="37"/>
      <c r="Z21" s="30"/>
      <c r="AA21" s="34"/>
    </row>
    <row r="22" spans="1:27" ht="6" customHeight="1">
      <c r="A22" s="70"/>
      <c r="B22" s="41"/>
      <c r="C22" s="42"/>
      <c r="D22" s="41"/>
      <c r="E22" s="41"/>
      <c r="F22" s="44"/>
      <c r="G22" s="44"/>
      <c r="H22" s="41"/>
      <c r="I22" s="43"/>
      <c r="J22" s="44"/>
      <c r="K22" s="44"/>
      <c r="L22" s="41"/>
      <c r="M22" s="43"/>
      <c r="N22" s="44"/>
      <c r="O22" s="44"/>
      <c r="P22" s="41"/>
      <c r="Q22" s="43"/>
      <c r="R22" s="44"/>
      <c r="S22" s="44"/>
      <c r="T22" s="41"/>
      <c r="U22" s="43"/>
      <c r="V22" s="44"/>
      <c r="W22" s="44"/>
      <c r="X22" s="41"/>
      <c r="Y22" s="43"/>
      <c r="Z22" s="44"/>
      <c r="AA22" s="44"/>
    </row>
    <row r="23" spans="1:27" s="56" customFormat="1">
      <c r="A23" s="71"/>
      <c r="B23" s="72"/>
      <c r="C23" s="53" t="s">
        <v>7</v>
      </c>
      <c r="D23" s="52"/>
      <c r="E23" s="52"/>
      <c r="F23" s="55"/>
      <c r="G23" s="55">
        <f>G15+G18</f>
        <v>28800</v>
      </c>
      <c r="H23" s="52"/>
      <c r="I23" s="54"/>
      <c r="J23" s="55"/>
      <c r="K23" s="55">
        <f>K15+K18</f>
        <v>2951.08</v>
      </c>
      <c r="L23" s="52"/>
      <c r="M23" s="54"/>
      <c r="N23" s="55"/>
      <c r="O23" s="55">
        <f>O15+O18</f>
        <v>9521.0440000000017</v>
      </c>
      <c r="P23" s="52"/>
      <c r="Q23" s="54"/>
      <c r="R23" s="55"/>
      <c r="S23" s="55">
        <f>S15+S18</f>
        <v>7492.5680000000002</v>
      </c>
      <c r="T23" s="52"/>
      <c r="U23" s="54"/>
      <c r="V23" s="55"/>
      <c r="W23" s="55">
        <f>W15+W18</f>
        <v>7249.7</v>
      </c>
      <c r="X23" s="52"/>
      <c r="Y23" s="54"/>
      <c r="Z23" s="55"/>
      <c r="AA23" s="55">
        <f>AA15+AA18</f>
        <v>1585.6079999999999</v>
      </c>
    </row>
    <row r="24" spans="1:27" s="56" customFormat="1">
      <c r="A24" s="71"/>
      <c r="B24" s="72"/>
      <c r="C24" s="53" t="s">
        <v>8</v>
      </c>
      <c r="D24" s="52"/>
      <c r="E24" s="52"/>
      <c r="F24" s="55"/>
      <c r="G24" s="55">
        <f>G23*0.2</f>
        <v>5760</v>
      </c>
      <c r="H24" s="52"/>
      <c r="I24" s="54"/>
      <c r="J24" s="55"/>
      <c r="K24" s="55">
        <f>K23*0.2</f>
        <v>590.21600000000001</v>
      </c>
      <c r="L24" s="52"/>
      <c r="M24" s="54"/>
      <c r="N24" s="55"/>
      <c r="O24" s="55">
        <f>O23*0.2</f>
        <v>1904.2088000000003</v>
      </c>
      <c r="P24" s="52"/>
      <c r="Q24" s="54"/>
      <c r="R24" s="55"/>
      <c r="S24" s="55">
        <f>S23*0.2</f>
        <v>1498.5136000000002</v>
      </c>
      <c r="T24" s="52"/>
      <c r="U24" s="54"/>
      <c r="V24" s="55"/>
      <c r="W24" s="55">
        <f>W23*0.2</f>
        <v>1449.94</v>
      </c>
      <c r="X24" s="52"/>
      <c r="Y24" s="54"/>
      <c r="Z24" s="55"/>
      <c r="AA24" s="55">
        <f>AA23*0.2</f>
        <v>317.1216</v>
      </c>
    </row>
    <row r="25" spans="1:27" s="56" customFormat="1">
      <c r="A25" s="71"/>
      <c r="B25" s="72"/>
      <c r="C25" s="53" t="s">
        <v>9</v>
      </c>
      <c r="D25" s="52"/>
      <c r="E25" s="52"/>
      <c r="F25" s="55"/>
      <c r="G25" s="55">
        <f>G24+G23</f>
        <v>34560</v>
      </c>
      <c r="H25" s="52"/>
      <c r="I25" s="54"/>
      <c r="J25" s="55"/>
      <c r="K25" s="55">
        <f>K24+K23</f>
        <v>3541.2959999999998</v>
      </c>
      <c r="L25" s="52"/>
      <c r="M25" s="54"/>
      <c r="N25" s="55"/>
      <c r="O25" s="55">
        <f>O24+O23</f>
        <v>11425.252800000002</v>
      </c>
      <c r="P25" s="52"/>
      <c r="Q25" s="54"/>
      <c r="R25" s="55"/>
      <c r="S25" s="55">
        <f>S24+S23</f>
        <v>8991.0816000000013</v>
      </c>
      <c r="T25" s="52"/>
      <c r="U25" s="54"/>
      <c r="V25" s="55"/>
      <c r="W25" s="55">
        <f>W24+W23</f>
        <v>8699.64</v>
      </c>
      <c r="X25" s="52"/>
      <c r="Y25" s="54"/>
      <c r="Z25" s="55"/>
      <c r="AA25" s="55">
        <f>AA24+AA23</f>
        <v>1902.7295999999999</v>
      </c>
    </row>
    <row r="26" spans="1:27" ht="6.6" customHeight="1">
      <c r="A26" s="73"/>
      <c r="B26" s="74"/>
      <c r="C26" s="45"/>
      <c r="D26" s="46"/>
      <c r="E26" s="51"/>
      <c r="F26" s="48"/>
      <c r="G26" s="48"/>
      <c r="H26" s="46"/>
      <c r="I26" s="47"/>
      <c r="J26" s="48"/>
      <c r="K26" s="48"/>
      <c r="L26" s="49"/>
      <c r="M26" s="50"/>
      <c r="N26" s="48"/>
      <c r="O26" s="48"/>
      <c r="P26" s="49"/>
      <c r="Q26" s="50"/>
      <c r="R26" s="48"/>
      <c r="S26" s="48"/>
      <c r="T26" s="49"/>
      <c r="U26" s="50"/>
      <c r="V26" s="48"/>
      <c r="W26" s="48"/>
      <c r="X26" s="49"/>
      <c r="Y26" s="50"/>
      <c r="Z26" s="48"/>
      <c r="AA26" s="48"/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AB127"/>
  <sheetViews>
    <sheetView showGridLines="0" view="pageBreakPreview" zoomScale="70" zoomScaleNormal="85" zoomScaleSheetLayoutView="70" workbookViewId="0">
      <pane ySplit="5" topLeftCell="A108" activePane="bottomLeft" state="frozen"/>
      <selection activeCell="C15" sqref="C15:I15"/>
      <selection pane="bottomLeft" activeCell="J134" sqref="J134"/>
    </sheetView>
  </sheetViews>
  <sheetFormatPr baseColWidth="10" defaultColWidth="11.44140625" defaultRowHeight="14.4"/>
  <cols>
    <col min="1" max="1" width="4.88671875" style="2" customWidth="1"/>
    <col min="2" max="2" width="3.33203125" style="3" bestFit="1" customWidth="1"/>
    <col min="3" max="3" width="46.5546875" style="24" customWidth="1"/>
    <col min="4" max="4" width="4.5546875" style="1" bestFit="1" customWidth="1"/>
    <col min="5" max="5" width="7.88671875" style="1" customWidth="1"/>
    <col min="6" max="6" width="12" style="1" customWidth="1"/>
    <col min="7" max="7" width="14.5546875" style="1" customWidth="1"/>
    <col min="8" max="8" width="2.6640625" style="1" customWidth="1"/>
    <col min="9" max="9" width="7.5546875" style="1" customWidth="1"/>
    <col min="10" max="10" width="14.6640625" style="1" customWidth="1"/>
    <col min="11" max="11" width="14.5546875" style="1" customWidth="1"/>
    <col min="12" max="12" width="2.6640625" style="1" customWidth="1"/>
    <col min="13" max="13" width="7.5546875" style="1" customWidth="1"/>
    <col min="14" max="14" width="11.44140625" style="1" customWidth="1"/>
    <col min="15" max="15" width="14.44140625" style="1" customWidth="1"/>
    <col min="16" max="16" width="2.6640625" style="1" customWidth="1"/>
    <col min="17" max="17" width="7.5546875" style="1" customWidth="1"/>
    <col min="18" max="18" width="11.44140625" style="1" customWidth="1"/>
    <col min="19" max="19" width="14.44140625" style="1" customWidth="1"/>
    <col min="20" max="20" width="2.6640625" style="1" customWidth="1"/>
    <col min="21" max="21" width="7.5546875" style="1" customWidth="1"/>
    <col min="22" max="22" width="11.44140625" style="1" customWidth="1"/>
    <col min="23" max="23" width="14.44140625" style="1" customWidth="1"/>
    <col min="24" max="24" width="2.6640625" style="1" customWidth="1"/>
    <col min="25" max="25" width="7.5546875" style="1" customWidth="1"/>
    <col min="26" max="26" width="11.44140625" style="1" customWidth="1"/>
    <col min="27" max="27" width="14.44140625" style="1" customWidth="1"/>
    <col min="28" max="28" width="2.88671875" style="1" customWidth="1"/>
    <col min="29" max="16384" width="11.44140625" style="1"/>
  </cols>
  <sheetData>
    <row r="1" spans="1:27" ht="23.25" customHeight="1">
      <c r="A1" s="566" t="s">
        <v>393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8"/>
    </row>
    <row r="2" spans="1:27" ht="8.4" customHeight="1">
      <c r="A2" s="15"/>
      <c r="C2" s="3"/>
      <c r="D2" s="3"/>
      <c r="E2" s="3"/>
      <c r="F2" s="3"/>
      <c r="G2" s="2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23"/>
    </row>
    <row r="3" spans="1:27" ht="19.5" customHeight="1">
      <c r="A3" s="16"/>
      <c r="C3" s="203" t="str">
        <f>'Page de garde'!C15</f>
        <v>IND 00 du 10/06/2025</v>
      </c>
      <c r="E3" s="569" t="s">
        <v>12</v>
      </c>
      <c r="F3" s="570"/>
      <c r="G3" s="571"/>
      <c r="I3" s="572" t="s">
        <v>30</v>
      </c>
      <c r="J3" s="573"/>
      <c r="K3" s="574"/>
      <c r="M3" s="572" t="s">
        <v>31</v>
      </c>
      <c r="N3" s="573"/>
      <c r="O3" s="574"/>
      <c r="Q3" s="572" t="s">
        <v>33</v>
      </c>
      <c r="R3" s="573"/>
      <c r="S3" s="574"/>
      <c r="U3" s="572" t="s">
        <v>34</v>
      </c>
      <c r="V3" s="573"/>
      <c r="W3" s="574"/>
      <c r="Y3" s="572" t="s">
        <v>35</v>
      </c>
      <c r="Z3" s="573"/>
      <c r="AA3" s="574"/>
    </row>
    <row r="4" spans="1:27" ht="19.5" customHeight="1">
      <c r="A4" s="16"/>
      <c r="E4" s="76"/>
      <c r="F4" s="77"/>
      <c r="G4" s="78" t="s">
        <v>11</v>
      </c>
      <c r="I4" s="57"/>
      <c r="J4" s="58"/>
      <c r="K4" s="59" t="s">
        <v>11</v>
      </c>
      <c r="M4" s="60"/>
      <c r="N4" s="58"/>
      <c r="O4" s="59" t="s">
        <v>11</v>
      </c>
      <c r="Q4" s="60"/>
      <c r="R4" s="58"/>
      <c r="S4" s="59" t="s">
        <v>11</v>
      </c>
      <c r="U4" s="60"/>
      <c r="V4" s="58"/>
      <c r="W4" s="59" t="s">
        <v>11</v>
      </c>
      <c r="Y4" s="60"/>
      <c r="Z4" s="58"/>
      <c r="AA4" s="59" t="s">
        <v>11</v>
      </c>
    </row>
    <row r="5" spans="1:27" s="17" customFormat="1" ht="24">
      <c r="A5" s="565" t="s">
        <v>1</v>
      </c>
      <c r="B5" s="565"/>
      <c r="C5" s="25" t="s">
        <v>2</v>
      </c>
      <c r="D5" s="18" t="s">
        <v>0</v>
      </c>
      <c r="E5" s="79" t="s">
        <v>3</v>
      </c>
      <c r="F5" s="79" t="s">
        <v>4</v>
      </c>
      <c r="G5" s="79" t="s">
        <v>5</v>
      </c>
      <c r="H5" s="18"/>
      <c r="I5" s="19" t="s">
        <v>3</v>
      </c>
      <c r="J5" s="19" t="s">
        <v>4</v>
      </c>
      <c r="K5" s="19" t="s">
        <v>5</v>
      </c>
      <c r="L5" s="20"/>
      <c r="M5" s="19" t="s">
        <v>3</v>
      </c>
      <c r="N5" s="19" t="s">
        <v>4</v>
      </c>
      <c r="O5" s="19" t="s">
        <v>5</v>
      </c>
      <c r="P5" s="20"/>
      <c r="Q5" s="19" t="s">
        <v>3</v>
      </c>
      <c r="R5" s="19" t="s">
        <v>4</v>
      </c>
      <c r="S5" s="19" t="s">
        <v>5</v>
      </c>
      <c r="T5" s="20"/>
      <c r="U5" s="19" t="s">
        <v>3</v>
      </c>
      <c r="V5" s="19" t="s">
        <v>4</v>
      </c>
      <c r="W5" s="19" t="s">
        <v>5</v>
      </c>
      <c r="X5" s="20"/>
      <c r="Y5" s="19" t="s">
        <v>3</v>
      </c>
      <c r="Z5" s="19" t="s">
        <v>4</v>
      </c>
      <c r="AA5" s="19" t="s">
        <v>5</v>
      </c>
    </row>
    <row r="6" spans="1:27">
      <c r="A6" s="61"/>
      <c r="B6" s="62" t="s">
        <v>19</v>
      </c>
      <c r="C6" s="63" t="s">
        <v>75</v>
      </c>
      <c r="D6" s="64"/>
      <c r="E6" s="366"/>
      <c r="F6" s="66"/>
      <c r="G6" s="66"/>
      <c r="H6" s="64"/>
      <c r="I6" s="366"/>
      <c r="J6" s="66"/>
      <c r="K6" s="66"/>
      <c r="L6" s="64"/>
      <c r="M6" s="366"/>
      <c r="N6" s="66"/>
      <c r="O6" s="66"/>
      <c r="P6" s="64"/>
      <c r="Q6" s="366"/>
      <c r="R6" s="66"/>
      <c r="S6" s="66"/>
      <c r="T6" s="64"/>
      <c r="U6" s="366"/>
      <c r="V6" s="66"/>
      <c r="W6" s="66"/>
      <c r="X6" s="64"/>
      <c r="Y6" s="366"/>
      <c r="Z6" s="66"/>
      <c r="AA6" s="66"/>
    </row>
    <row r="7" spans="1:27">
      <c r="A7" s="14"/>
      <c r="B7" s="31"/>
      <c r="C7" s="28" t="s">
        <v>91</v>
      </c>
      <c r="D7" s="67" t="s">
        <v>69</v>
      </c>
      <c r="E7" s="29">
        <f t="shared" ref="E7:E36" si="0">I7+M7+Q7+U7+Y7</f>
        <v>4</v>
      </c>
      <c r="F7" s="32">
        <v>563.30999999999995</v>
      </c>
      <c r="G7" s="32">
        <f t="shared" ref="G7:G36" si="1">E7*F7</f>
        <v>2253.2399999999998</v>
      </c>
      <c r="H7" s="67"/>
      <c r="I7" s="67">
        <v>4</v>
      </c>
      <c r="J7" s="40">
        <f>$F7</f>
        <v>563.30999999999995</v>
      </c>
      <c r="K7" s="32">
        <f>I7*J7</f>
        <v>2253.2399999999998</v>
      </c>
      <c r="L7" s="67"/>
      <c r="M7" s="67">
        <v>0</v>
      </c>
      <c r="N7" s="40">
        <f>$F7</f>
        <v>563.30999999999995</v>
      </c>
      <c r="O7" s="32">
        <f>M7*N7</f>
        <v>0</v>
      </c>
      <c r="P7" s="67"/>
      <c r="Q7" s="67">
        <v>0</v>
      </c>
      <c r="R7" s="40">
        <f t="shared" ref="R7:R36" si="2">$F7</f>
        <v>563.30999999999995</v>
      </c>
      <c r="S7" s="32">
        <f t="shared" ref="S7:S36" si="3">Q7*R7</f>
        <v>0</v>
      </c>
      <c r="T7" s="67"/>
      <c r="U7" s="67">
        <v>0</v>
      </c>
      <c r="V7" s="40">
        <f t="shared" ref="V7:V36" si="4">$F7</f>
        <v>563.30999999999995</v>
      </c>
      <c r="W7" s="32">
        <f t="shared" ref="W7:W36" si="5">U7*V7</f>
        <v>0</v>
      </c>
      <c r="X7" s="67"/>
      <c r="Y7" s="67">
        <v>0</v>
      </c>
      <c r="Z7" s="40">
        <f t="shared" ref="Z7:Z36" si="6">$F7</f>
        <v>563.30999999999995</v>
      </c>
      <c r="AA7" s="32">
        <f t="shared" ref="AA7:AA36" si="7">Y7*Z7</f>
        <v>0</v>
      </c>
    </row>
    <row r="8" spans="1:27">
      <c r="A8" s="14"/>
      <c r="B8" s="31"/>
      <c r="C8" s="28" t="s">
        <v>804</v>
      </c>
      <c r="D8" s="67" t="s">
        <v>69</v>
      </c>
      <c r="E8" s="29">
        <f t="shared" si="0"/>
        <v>1</v>
      </c>
      <c r="F8" s="32">
        <v>454.99</v>
      </c>
      <c r="G8" s="32">
        <f t="shared" si="1"/>
        <v>454.99</v>
      </c>
      <c r="H8" s="67"/>
      <c r="I8" s="67">
        <v>1</v>
      </c>
      <c r="J8" s="40">
        <f t="shared" ref="J8:J36" si="8">$F8</f>
        <v>454.99</v>
      </c>
      <c r="K8" s="32">
        <f t="shared" ref="K8:K36" si="9">I8*J8</f>
        <v>454.99</v>
      </c>
      <c r="L8" s="67"/>
      <c r="M8" s="67">
        <v>0</v>
      </c>
      <c r="N8" s="40">
        <f t="shared" ref="N8:N35" si="10">$F8</f>
        <v>454.99</v>
      </c>
      <c r="O8" s="32">
        <f t="shared" ref="O8:O36" si="11">M8*N8</f>
        <v>0</v>
      </c>
      <c r="P8" s="67"/>
      <c r="Q8" s="67">
        <v>0</v>
      </c>
      <c r="R8" s="40">
        <f t="shared" si="2"/>
        <v>454.99</v>
      </c>
      <c r="S8" s="32">
        <f t="shared" si="3"/>
        <v>0</v>
      </c>
      <c r="T8" s="67"/>
      <c r="U8" s="67">
        <v>0</v>
      </c>
      <c r="V8" s="40">
        <f t="shared" si="4"/>
        <v>454.99</v>
      </c>
      <c r="W8" s="32">
        <f t="shared" si="5"/>
        <v>0</v>
      </c>
      <c r="X8" s="67"/>
      <c r="Y8" s="67">
        <v>0</v>
      </c>
      <c r="Z8" s="40">
        <f t="shared" si="6"/>
        <v>454.99</v>
      </c>
      <c r="AA8" s="32">
        <f t="shared" si="7"/>
        <v>0</v>
      </c>
    </row>
    <row r="9" spans="1:27">
      <c r="A9" s="14"/>
      <c r="B9" s="31"/>
      <c r="C9" s="28" t="s">
        <v>92</v>
      </c>
      <c r="D9" s="67" t="s">
        <v>69</v>
      </c>
      <c r="E9" s="29">
        <f t="shared" si="0"/>
        <v>6</v>
      </c>
      <c r="F9" s="32">
        <v>1126.81</v>
      </c>
      <c r="G9" s="32">
        <f t="shared" si="1"/>
        <v>6760.86</v>
      </c>
      <c r="H9" s="67"/>
      <c r="I9" s="67">
        <v>0</v>
      </c>
      <c r="J9" s="40">
        <f t="shared" si="8"/>
        <v>1126.81</v>
      </c>
      <c r="K9" s="32">
        <f t="shared" si="9"/>
        <v>0</v>
      </c>
      <c r="L9" s="67"/>
      <c r="M9" s="67">
        <v>0</v>
      </c>
      <c r="N9" s="40">
        <f t="shared" si="10"/>
        <v>1126.81</v>
      </c>
      <c r="O9" s="32">
        <f t="shared" si="11"/>
        <v>0</v>
      </c>
      <c r="P9" s="67"/>
      <c r="Q9" s="67">
        <v>0</v>
      </c>
      <c r="R9" s="40">
        <f t="shared" si="2"/>
        <v>1126.81</v>
      </c>
      <c r="S9" s="32">
        <f t="shared" si="3"/>
        <v>0</v>
      </c>
      <c r="T9" s="67"/>
      <c r="U9" s="67">
        <v>6</v>
      </c>
      <c r="V9" s="40">
        <f t="shared" si="4"/>
        <v>1126.81</v>
      </c>
      <c r="W9" s="32">
        <f t="shared" si="5"/>
        <v>6760.86</v>
      </c>
      <c r="X9" s="67"/>
      <c r="Y9" s="67">
        <v>0</v>
      </c>
      <c r="Z9" s="40">
        <f t="shared" si="6"/>
        <v>1126.81</v>
      </c>
      <c r="AA9" s="32">
        <f t="shared" si="7"/>
        <v>0</v>
      </c>
    </row>
    <row r="10" spans="1:27">
      <c r="A10" s="14"/>
      <c r="B10" s="31"/>
      <c r="C10" s="28" t="s">
        <v>93</v>
      </c>
      <c r="D10" s="67" t="s">
        <v>69</v>
      </c>
      <c r="E10" s="29">
        <f t="shared" si="0"/>
        <v>6</v>
      </c>
      <c r="F10" s="32">
        <v>985.98</v>
      </c>
      <c r="G10" s="32">
        <f t="shared" si="1"/>
        <v>5915.88</v>
      </c>
      <c r="H10" s="67"/>
      <c r="I10" s="67">
        <v>0</v>
      </c>
      <c r="J10" s="40">
        <f t="shared" si="8"/>
        <v>985.98</v>
      </c>
      <c r="K10" s="32">
        <f t="shared" si="9"/>
        <v>0</v>
      </c>
      <c r="L10" s="67"/>
      <c r="M10" s="67">
        <v>0</v>
      </c>
      <c r="N10" s="40">
        <f t="shared" si="10"/>
        <v>985.98</v>
      </c>
      <c r="O10" s="32">
        <f t="shared" si="11"/>
        <v>0</v>
      </c>
      <c r="P10" s="67"/>
      <c r="Q10" s="67">
        <v>0</v>
      </c>
      <c r="R10" s="40">
        <f t="shared" si="2"/>
        <v>985.98</v>
      </c>
      <c r="S10" s="32">
        <f t="shared" si="3"/>
        <v>0</v>
      </c>
      <c r="T10" s="67"/>
      <c r="U10" s="67">
        <v>6</v>
      </c>
      <c r="V10" s="40">
        <f t="shared" si="4"/>
        <v>985.98</v>
      </c>
      <c r="W10" s="32">
        <f t="shared" si="5"/>
        <v>5915.88</v>
      </c>
      <c r="X10" s="67"/>
      <c r="Y10" s="67">
        <v>0</v>
      </c>
      <c r="Z10" s="40">
        <f t="shared" si="6"/>
        <v>985.98</v>
      </c>
      <c r="AA10" s="32">
        <f t="shared" si="7"/>
        <v>0</v>
      </c>
    </row>
    <row r="11" spans="1:27">
      <c r="A11" s="14"/>
      <c r="B11" s="31"/>
      <c r="C11" s="28" t="s">
        <v>94</v>
      </c>
      <c r="D11" s="67" t="s">
        <v>69</v>
      </c>
      <c r="E11" s="29">
        <f t="shared" si="0"/>
        <v>1</v>
      </c>
      <c r="F11" s="32">
        <v>435.09</v>
      </c>
      <c r="G11" s="32">
        <f t="shared" si="1"/>
        <v>435.09</v>
      </c>
      <c r="H11" s="67"/>
      <c r="I11" s="67">
        <v>0</v>
      </c>
      <c r="J11" s="40">
        <f t="shared" si="8"/>
        <v>435.09</v>
      </c>
      <c r="K11" s="32">
        <f t="shared" si="9"/>
        <v>0</v>
      </c>
      <c r="L11" s="67"/>
      <c r="M11" s="67">
        <v>0</v>
      </c>
      <c r="N11" s="40">
        <f t="shared" si="10"/>
        <v>435.09</v>
      </c>
      <c r="O11" s="32">
        <f t="shared" si="11"/>
        <v>0</v>
      </c>
      <c r="P11" s="67"/>
      <c r="Q11" s="67">
        <v>0</v>
      </c>
      <c r="R11" s="40">
        <f t="shared" si="2"/>
        <v>435.09</v>
      </c>
      <c r="S11" s="32">
        <f t="shared" si="3"/>
        <v>0</v>
      </c>
      <c r="T11" s="67"/>
      <c r="U11" s="67">
        <v>0</v>
      </c>
      <c r="V11" s="40">
        <f t="shared" si="4"/>
        <v>435.09</v>
      </c>
      <c r="W11" s="32">
        <f t="shared" si="5"/>
        <v>0</v>
      </c>
      <c r="X11" s="67"/>
      <c r="Y11" s="67">
        <v>1</v>
      </c>
      <c r="Z11" s="40">
        <f t="shared" si="6"/>
        <v>435.09</v>
      </c>
      <c r="AA11" s="32">
        <f t="shared" si="7"/>
        <v>435.09</v>
      </c>
    </row>
    <row r="12" spans="1:27">
      <c r="A12" s="14"/>
      <c r="B12" s="31"/>
      <c r="C12" s="28" t="s">
        <v>95</v>
      </c>
      <c r="D12" s="67" t="s">
        <v>69</v>
      </c>
      <c r="E12" s="29">
        <f t="shared" si="0"/>
        <v>4</v>
      </c>
      <c r="F12" s="40">
        <v>570.48</v>
      </c>
      <c r="G12" s="32">
        <f t="shared" si="1"/>
        <v>2281.92</v>
      </c>
      <c r="H12" s="67"/>
      <c r="I12" s="67">
        <v>0</v>
      </c>
      <c r="J12" s="40">
        <f t="shared" si="8"/>
        <v>570.48</v>
      </c>
      <c r="K12" s="32">
        <f t="shared" si="9"/>
        <v>0</v>
      </c>
      <c r="L12" s="67"/>
      <c r="M12" s="67">
        <v>3</v>
      </c>
      <c r="N12" s="40">
        <v>570.48</v>
      </c>
      <c r="O12" s="32">
        <f t="shared" si="11"/>
        <v>1711.44</v>
      </c>
      <c r="P12" s="67"/>
      <c r="Q12" s="67">
        <v>1</v>
      </c>
      <c r="R12" s="40">
        <f t="shared" si="2"/>
        <v>570.48</v>
      </c>
      <c r="S12" s="32">
        <f t="shared" si="3"/>
        <v>570.48</v>
      </c>
      <c r="T12" s="67"/>
      <c r="U12" s="67">
        <v>0</v>
      </c>
      <c r="V12" s="40">
        <f t="shared" si="4"/>
        <v>570.48</v>
      </c>
      <c r="W12" s="32">
        <f t="shared" si="5"/>
        <v>0</v>
      </c>
      <c r="X12" s="67"/>
      <c r="Y12" s="67">
        <v>0</v>
      </c>
      <c r="Z12" s="40">
        <f t="shared" si="6"/>
        <v>570.48</v>
      </c>
      <c r="AA12" s="32">
        <f t="shared" si="7"/>
        <v>0</v>
      </c>
    </row>
    <row r="13" spans="1:27">
      <c r="A13" s="14"/>
      <c r="B13" s="31"/>
      <c r="C13" s="28" t="s">
        <v>812</v>
      </c>
      <c r="D13" s="67" t="s">
        <v>69</v>
      </c>
      <c r="E13" s="29">
        <f t="shared" si="0"/>
        <v>2</v>
      </c>
      <c r="F13" s="32">
        <v>823.84</v>
      </c>
      <c r="G13" s="32">
        <f t="shared" si="1"/>
        <v>1647.68</v>
      </c>
      <c r="H13" s="67"/>
      <c r="I13" s="67">
        <v>0</v>
      </c>
      <c r="J13" s="40">
        <f t="shared" si="8"/>
        <v>823.84</v>
      </c>
      <c r="K13" s="32">
        <f t="shared" si="9"/>
        <v>0</v>
      </c>
      <c r="L13" s="67"/>
      <c r="M13" s="67">
        <v>0</v>
      </c>
      <c r="N13" s="40">
        <f t="shared" si="10"/>
        <v>823.84</v>
      </c>
      <c r="O13" s="32">
        <f t="shared" si="11"/>
        <v>0</v>
      </c>
      <c r="P13" s="67"/>
      <c r="Q13" s="67">
        <v>0</v>
      </c>
      <c r="R13" s="40">
        <f t="shared" si="2"/>
        <v>823.84</v>
      </c>
      <c r="S13" s="32">
        <f t="shared" si="3"/>
        <v>0</v>
      </c>
      <c r="T13" s="67"/>
      <c r="U13" s="67">
        <v>2</v>
      </c>
      <c r="V13" s="40">
        <f t="shared" si="4"/>
        <v>823.84</v>
      </c>
      <c r="W13" s="32">
        <f t="shared" si="5"/>
        <v>1647.68</v>
      </c>
      <c r="X13" s="67"/>
      <c r="Y13" s="67">
        <v>0</v>
      </c>
      <c r="Z13" s="40">
        <f t="shared" si="6"/>
        <v>823.84</v>
      </c>
      <c r="AA13" s="32">
        <f t="shared" si="7"/>
        <v>0</v>
      </c>
    </row>
    <row r="14" spans="1:27">
      <c r="A14" s="14"/>
      <c r="B14" s="31"/>
      <c r="C14" s="28" t="s">
        <v>96</v>
      </c>
      <c r="D14" s="67" t="s">
        <v>69</v>
      </c>
      <c r="E14" s="29">
        <f t="shared" si="0"/>
        <v>1</v>
      </c>
      <c r="F14" s="32">
        <v>1353.02</v>
      </c>
      <c r="G14" s="32">
        <f t="shared" si="1"/>
        <v>1353.02</v>
      </c>
      <c r="H14" s="67"/>
      <c r="I14" s="67">
        <v>0</v>
      </c>
      <c r="J14" s="40">
        <f t="shared" si="8"/>
        <v>1353.02</v>
      </c>
      <c r="K14" s="32">
        <f t="shared" si="9"/>
        <v>0</v>
      </c>
      <c r="L14" s="67"/>
      <c r="M14" s="67">
        <v>0</v>
      </c>
      <c r="N14" s="40">
        <f t="shared" si="10"/>
        <v>1353.02</v>
      </c>
      <c r="O14" s="32">
        <f t="shared" si="11"/>
        <v>0</v>
      </c>
      <c r="P14" s="67"/>
      <c r="Q14" s="67">
        <v>1</v>
      </c>
      <c r="R14" s="40">
        <f t="shared" si="2"/>
        <v>1353.02</v>
      </c>
      <c r="S14" s="32">
        <f t="shared" si="3"/>
        <v>1353.02</v>
      </c>
      <c r="T14" s="67"/>
      <c r="U14" s="67">
        <v>0</v>
      </c>
      <c r="V14" s="40">
        <f t="shared" si="4"/>
        <v>1353.02</v>
      </c>
      <c r="W14" s="32">
        <f t="shared" si="5"/>
        <v>0</v>
      </c>
      <c r="X14" s="67"/>
      <c r="Y14" s="67">
        <v>0</v>
      </c>
      <c r="Z14" s="40">
        <f t="shared" si="6"/>
        <v>1353.02</v>
      </c>
      <c r="AA14" s="32">
        <f t="shared" si="7"/>
        <v>0</v>
      </c>
    </row>
    <row r="15" spans="1:27">
      <c r="A15" s="14"/>
      <c r="B15" s="31"/>
      <c r="C15" s="28" t="s">
        <v>97</v>
      </c>
      <c r="D15" s="67" t="s">
        <v>69</v>
      </c>
      <c r="E15" s="29">
        <f t="shared" si="0"/>
        <v>3</v>
      </c>
      <c r="F15" s="32">
        <v>649.85</v>
      </c>
      <c r="G15" s="32">
        <f t="shared" si="1"/>
        <v>1949.5500000000002</v>
      </c>
      <c r="H15" s="67"/>
      <c r="I15" s="67">
        <v>2</v>
      </c>
      <c r="J15" s="40">
        <f t="shared" si="8"/>
        <v>649.85</v>
      </c>
      <c r="K15" s="32">
        <f t="shared" si="9"/>
        <v>1299.7</v>
      </c>
      <c r="L15" s="67"/>
      <c r="M15" s="67">
        <v>0</v>
      </c>
      <c r="N15" s="40">
        <f t="shared" si="10"/>
        <v>649.85</v>
      </c>
      <c r="O15" s="32">
        <f t="shared" si="11"/>
        <v>0</v>
      </c>
      <c r="P15" s="67"/>
      <c r="Q15" s="67">
        <v>1</v>
      </c>
      <c r="R15" s="40">
        <f t="shared" si="2"/>
        <v>649.85</v>
      </c>
      <c r="S15" s="32">
        <f t="shared" si="3"/>
        <v>649.85</v>
      </c>
      <c r="T15" s="67"/>
      <c r="U15" s="67">
        <v>0</v>
      </c>
      <c r="V15" s="40">
        <f t="shared" si="4"/>
        <v>649.85</v>
      </c>
      <c r="W15" s="32">
        <f t="shared" si="5"/>
        <v>0</v>
      </c>
      <c r="X15" s="67"/>
      <c r="Y15" s="67">
        <v>0</v>
      </c>
      <c r="Z15" s="40">
        <f t="shared" si="6"/>
        <v>649.85</v>
      </c>
      <c r="AA15" s="32">
        <f t="shared" si="7"/>
        <v>0</v>
      </c>
    </row>
    <row r="16" spans="1:27">
      <c r="A16" s="14"/>
      <c r="B16" s="31"/>
      <c r="C16" s="28" t="s">
        <v>98</v>
      </c>
      <c r="D16" s="67" t="s">
        <v>69</v>
      </c>
      <c r="E16" s="29">
        <f t="shared" si="0"/>
        <v>9</v>
      </c>
      <c r="F16" s="32">
        <v>605.39</v>
      </c>
      <c r="G16" s="32">
        <f t="shared" si="1"/>
        <v>5448.51</v>
      </c>
      <c r="H16" s="67"/>
      <c r="I16" s="67">
        <v>0</v>
      </c>
      <c r="J16" s="40">
        <f t="shared" si="8"/>
        <v>605.39</v>
      </c>
      <c r="K16" s="32">
        <f t="shared" si="9"/>
        <v>0</v>
      </c>
      <c r="L16" s="67"/>
      <c r="M16" s="67">
        <v>0</v>
      </c>
      <c r="N16" s="40">
        <f t="shared" si="10"/>
        <v>605.39</v>
      </c>
      <c r="O16" s="32">
        <f t="shared" si="11"/>
        <v>0</v>
      </c>
      <c r="P16" s="67"/>
      <c r="Q16" s="67">
        <v>3</v>
      </c>
      <c r="R16" s="40">
        <f t="shared" si="2"/>
        <v>605.39</v>
      </c>
      <c r="S16" s="32">
        <f t="shared" si="3"/>
        <v>1816.17</v>
      </c>
      <c r="T16" s="67"/>
      <c r="U16" s="67">
        <v>4</v>
      </c>
      <c r="V16" s="40">
        <f t="shared" si="4"/>
        <v>605.39</v>
      </c>
      <c r="W16" s="32">
        <f t="shared" si="5"/>
        <v>2421.56</v>
      </c>
      <c r="X16" s="67"/>
      <c r="Y16" s="67">
        <v>2</v>
      </c>
      <c r="Z16" s="40">
        <f t="shared" si="6"/>
        <v>605.39</v>
      </c>
      <c r="AA16" s="32">
        <f t="shared" si="7"/>
        <v>1210.78</v>
      </c>
    </row>
    <row r="17" spans="1:27">
      <c r="A17" s="14"/>
      <c r="B17" s="31"/>
      <c r="C17" s="28" t="s">
        <v>99</v>
      </c>
      <c r="D17" s="67" t="s">
        <v>69</v>
      </c>
      <c r="E17" s="29">
        <f t="shared" si="0"/>
        <v>1</v>
      </c>
      <c r="F17" s="32">
        <v>817.24</v>
      </c>
      <c r="G17" s="32">
        <f t="shared" si="1"/>
        <v>817.24</v>
      </c>
      <c r="H17" s="67"/>
      <c r="I17" s="67">
        <v>1</v>
      </c>
      <c r="J17" s="40">
        <f t="shared" si="8"/>
        <v>817.24</v>
      </c>
      <c r="K17" s="32">
        <f t="shared" si="9"/>
        <v>817.24</v>
      </c>
      <c r="L17" s="67"/>
      <c r="M17" s="67">
        <v>0</v>
      </c>
      <c r="N17" s="40">
        <f t="shared" si="10"/>
        <v>817.24</v>
      </c>
      <c r="O17" s="32">
        <f t="shared" si="11"/>
        <v>0</v>
      </c>
      <c r="P17" s="67"/>
      <c r="Q17" s="67">
        <v>0</v>
      </c>
      <c r="R17" s="40">
        <f t="shared" si="2"/>
        <v>817.24</v>
      </c>
      <c r="S17" s="32">
        <f t="shared" si="3"/>
        <v>0</v>
      </c>
      <c r="T17" s="67"/>
      <c r="U17" s="67">
        <v>0</v>
      </c>
      <c r="V17" s="40">
        <f t="shared" si="4"/>
        <v>817.24</v>
      </c>
      <c r="W17" s="32">
        <f t="shared" si="5"/>
        <v>0</v>
      </c>
      <c r="X17" s="67"/>
      <c r="Y17" s="67">
        <v>0</v>
      </c>
      <c r="Z17" s="40">
        <f t="shared" si="6"/>
        <v>817.24</v>
      </c>
      <c r="AA17" s="32">
        <f t="shared" si="7"/>
        <v>0</v>
      </c>
    </row>
    <row r="18" spans="1:27">
      <c r="A18" s="14"/>
      <c r="B18" s="31"/>
      <c r="C18" s="28" t="s">
        <v>100</v>
      </c>
      <c r="D18" s="67" t="s">
        <v>69</v>
      </c>
      <c r="E18" s="29">
        <f t="shared" si="0"/>
        <v>1</v>
      </c>
      <c r="F18" s="32">
        <v>901.62</v>
      </c>
      <c r="G18" s="32">
        <f t="shared" si="1"/>
        <v>901.62</v>
      </c>
      <c r="H18" s="67"/>
      <c r="I18" s="67">
        <v>1</v>
      </c>
      <c r="J18" s="40">
        <f t="shared" si="8"/>
        <v>901.62</v>
      </c>
      <c r="K18" s="32">
        <f t="shared" si="9"/>
        <v>901.62</v>
      </c>
      <c r="L18" s="67"/>
      <c r="M18" s="67">
        <v>0</v>
      </c>
      <c r="N18" s="40">
        <f t="shared" si="10"/>
        <v>901.62</v>
      </c>
      <c r="O18" s="32">
        <f t="shared" si="11"/>
        <v>0</v>
      </c>
      <c r="P18" s="67"/>
      <c r="Q18" s="67">
        <v>0</v>
      </c>
      <c r="R18" s="40">
        <f t="shared" si="2"/>
        <v>901.62</v>
      </c>
      <c r="S18" s="32">
        <f t="shared" si="3"/>
        <v>0</v>
      </c>
      <c r="T18" s="67"/>
      <c r="U18" s="67">
        <v>0</v>
      </c>
      <c r="V18" s="40">
        <f t="shared" si="4"/>
        <v>901.62</v>
      </c>
      <c r="W18" s="32">
        <f t="shared" si="5"/>
        <v>0</v>
      </c>
      <c r="X18" s="67"/>
      <c r="Y18" s="67">
        <v>0</v>
      </c>
      <c r="Z18" s="40">
        <f t="shared" si="6"/>
        <v>901.62</v>
      </c>
      <c r="AA18" s="32">
        <f t="shared" si="7"/>
        <v>0</v>
      </c>
    </row>
    <row r="19" spans="1:27">
      <c r="A19" s="14"/>
      <c r="B19" s="31"/>
      <c r="C19" s="28" t="s">
        <v>101</v>
      </c>
      <c r="D19" s="67" t="s">
        <v>69</v>
      </c>
      <c r="E19" s="29">
        <f t="shared" si="0"/>
        <v>1</v>
      </c>
      <c r="F19" s="32">
        <v>868.13</v>
      </c>
      <c r="G19" s="32">
        <f t="shared" si="1"/>
        <v>868.13</v>
      </c>
      <c r="H19" s="67"/>
      <c r="I19" s="67">
        <v>1</v>
      </c>
      <c r="J19" s="40">
        <f t="shared" si="8"/>
        <v>868.13</v>
      </c>
      <c r="K19" s="32">
        <f t="shared" si="9"/>
        <v>868.13</v>
      </c>
      <c r="L19" s="67"/>
      <c r="M19" s="67">
        <v>0</v>
      </c>
      <c r="N19" s="40">
        <f t="shared" si="10"/>
        <v>868.13</v>
      </c>
      <c r="O19" s="32">
        <f t="shared" si="11"/>
        <v>0</v>
      </c>
      <c r="P19" s="67"/>
      <c r="Q19" s="67">
        <v>0</v>
      </c>
      <c r="R19" s="40">
        <f t="shared" si="2"/>
        <v>868.13</v>
      </c>
      <c r="S19" s="32">
        <f t="shared" si="3"/>
        <v>0</v>
      </c>
      <c r="T19" s="67"/>
      <c r="U19" s="67">
        <v>0</v>
      </c>
      <c r="V19" s="40">
        <f t="shared" si="4"/>
        <v>868.13</v>
      </c>
      <c r="W19" s="32">
        <f t="shared" si="5"/>
        <v>0</v>
      </c>
      <c r="X19" s="67"/>
      <c r="Y19" s="67">
        <v>0</v>
      </c>
      <c r="Z19" s="40">
        <f t="shared" si="6"/>
        <v>868.13</v>
      </c>
      <c r="AA19" s="32">
        <f t="shared" si="7"/>
        <v>0</v>
      </c>
    </row>
    <row r="20" spans="1:27">
      <c r="A20" s="14"/>
      <c r="B20" s="31"/>
      <c r="C20" s="28" t="s">
        <v>102</v>
      </c>
      <c r="D20" s="67" t="s">
        <v>69</v>
      </c>
      <c r="E20" s="29">
        <f t="shared" si="0"/>
        <v>5</v>
      </c>
      <c r="F20" s="32">
        <v>570.48</v>
      </c>
      <c r="G20" s="32">
        <f t="shared" si="1"/>
        <v>2852.4</v>
      </c>
      <c r="H20" s="67"/>
      <c r="I20" s="67">
        <v>0</v>
      </c>
      <c r="J20" s="40">
        <f t="shared" si="8"/>
        <v>570.48</v>
      </c>
      <c r="K20" s="32">
        <f t="shared" si="9"/>
        <v>0</v>
      </c>
      <c r="L20" s="67"/>
      <c r="M20" s="67">
        <v>0</v>
      </c>
      <c r="N20" s="40">
        <f t="shared" si="10"/>
        <v>570.48</v>
      </c>
      <c r="O20" s="32">
        <f t="shared" si="11"/>
        <v>0</v>
      </c>
      <c r="P20" s="67"/>
      <c r="Q20" s="67">
        <v>0</v>
      </c>
      <c r="R20" s="40">
        <f t="shared" si="2"/>
        <v>570.48</v>
      </c>
      <c r="S20" s="32">
        <f t="shared" si="3"/>
        <v>0</v>
      </c>
      <c r="T20" s="67"/>
      <c r="U20" s="67">
        <v>0</v>
      </c>
      <c r="V20" s="40">
        <f t="shared" si="4"/>
        <v>570.48</v>
      </c>
      <c r="W20" s="32">
        <f t="shared" si="5"/>
        <v>0</v>
      </c>
      <c r="X20" s="67"/>
      <c r="Y20" s="67">
        <v>5</v>
      </c>
      <c r="Z20" s="40">
        <f t="shared" si="6"/>
        <v>570.48</v>
      </c>
      <c r="AA20" s="32">
        <f t="shared" si="7"/>
        <v>2852.4</v>
      </c>
    </row>
    <row r="21" spans="1:27">
      <c r="A21" s="14"/>
      <c r="B21" s="31"/>
      <c r="C21" s="28" t="s">
        <v>103</v>
      </c>
      <c r="D21" s="67" t="s">
        <v>69</v>
      </c>
      <c r="E21" s="29">
        <f t="shared" si="0"/>
        <v>4</v>
      </c>
      <c r="F21" s="40">
        <v>660.72</v>
      </c>
      <c r="G21" s="32">
        <f t="shared" si="1"/>
        <v>2642.88</v>
      </c>
      <c r="H21" s="67"/>
      <c r="I21" s="67">
        <v>0</v>
      </c>
      <c r="J21" s="40">
        <f t="shared" si="8"/>
        <v>660.72</v>
      </c>
      <c r="K21" s="32">
        <f t="shared" si="9"/>
        <v>0</v>
      </c>
      <c r="L21" s="67"/>
      <c r="M21" s="67">
        <v>2</v>
      </c>
      <c r="N21" s="40">
        <v>660.72</v>
      </c>
      <c r="O21" s="32">
        <f t="shared" si="11"/>
        <v>1321.44</v>
      </c>
      <c r="P21" s="67"/>
      <c r="Q21" s="67">
        <v>2</v>
      </c>
      <c r="R21" s="40">
        <f t="shared" si="2"/>
        <v>660.72</v>
      </c>
      <c r="S21" s="32">
        <f t="shared" si="3"/>
        <v>1321.44</v>
      </c>
      <c r="T21" s="67"/>
      <c r="U21" s="67">
        <v>0</v>
      </c>
      <c r="V21" s="40">
        <f t="shared" si="4"/>
        <v>660.72</v>
      </c>
      <c r="W21" s="32">
        <f t="shared" si="5"/>
        <v>0</v>
      </c>
      <c r="X21" s="67"/>
      <c r="Y21" s="67">
        <v>0</v>
      </c>
      <c r="Z21" s="40">
        <f t="shared" si="6"/>
        <v>660.72</v>
      </c>
      <c r="AA21" s="32">
        <f t="shared" si="7"/>
        <v>0</v>
      </c>
    </row>
    <row r="22" spans="1:27">
      <c r="A22" s="14"/>
      <c r="B22" s="31"/>
      <c r="C22" s="28" t="s">
        <v>104</v>
      </c>
      <c r="D22" s="67" t="s">
        <v>69</v>
      </c>
      <c r="E22" s="29">
        <f t="shared" si="0"/>
        <v>7</v>
      </c>
      <c r="F22" s="32">
        <v>961.8</v>
      </c>
      <c r="G22" s="32">
        <f t="shared" si="1"/>
        <v>6732.5999999999995</v>
      </c>
      <c r="H22" s="67"/>
      <c r="I22" s="67">
        <v>0</v>
      </c>
      <c r="J22" s="40">
        <f t="shared" si="8"/>
        <v>961.8</v>
      </c>
      <c r="K22" s="32">
        <f t="shared" si="9"/>
        <v>0</v>
      </c>
      <c r="L22" s="67"/>
      <c r="M22" s="67">
        <v>0</v>
      </c>
      <c r="N22" s="40">
        <f t="shared" si="10"/>
        <v>961.8</v>
      </c>
      <c r="O22" s="32">
        <f t="shared" si="11"/>
        <v>0</v>
      </c>
      <c r="P22" s="67"/>
      <c r="Q22" s="67">
        <v>4</v>
      </c>
      <c r="R22" s="40">
        <f t="shared" si="2"/>
        <v>961.8</v>
      </c>
      <c r="S22" s="32">
        <f t="shared" si="3"/>
        <v>3847.2</v>
      </c>
      <c r="T22" s="67"/>
      <c r="U22" s="67">
        <v>3</v>
      </c>
      <c r="V22" s="40">
        <f t="shared" si="4"/>
        <v>961.8</v>
      </c>
      <c r="W22" s="32">
        <f t="shared" si="5"/>
        <v>2885.3999999999996</v>
      </c>
      <c r="X22" s="67"/>
      <c r="Y22" s="67">
        <v>0</v>
      </c>
      <c r="Z22" s="40">
        <f t="shared" si="6"/>
        <v>961.8</v>
      </c>
      <c r="AA22" s="32">
        <f t="shared" si="7"/>
        <v>0</v>
      </c>
    </row>
    <row r="23" spans="1:27">
      <c r="A23" s="14"/>
      <c r="B23" s="31"/>
      <c r="C23" s="28" t="s">
        <v>803</v>
      </c>
      <c r="D23" s="67" t="s">
        <v>69</v>
      </c>
      <c r="E23" s="29">
        <f t="shared" si="0"/>
        <v>2</v>
      </c>
      <c r="F23" s="32">
        <v>1045.17</v>
      </c>
      <c r="G23" s="32">
        <f t="shared" si="1"/>
        <v>2090.34</v>
      </c>
      <c r="H23" s="67"/>
      <c r="I23" s="67">
        <v>0</v>
      </c>
      <c r="J23" s="40">
        <f t="shared" si="8"/>
        <v>1045.17</v>
      </c>
      <c r="K23" s="32">
        <f t="shared" si="9"/>
        <v>0</v>
      </c>
      <c r="L23" s="67"/>
      <c r="M23" s="67">
        <v>0</v>
      </c>
      <c r="N23" s="40">
        <f t="shared" si="10"/>
        <v>1045.17</v>
      </c>
      <c r="O23" s="32">
        <f t="shared" si="11"/>
        <v>0</v>
      </c>
      <c r="P23" s="67"/>
      <c r="Q23" s="67">
        <v>2</v>
      </c>
      <c r="R23" s="40">
        <f t="shared" si="2"/>
        <v>1045.17</v>
      </c>
      <c r="S23" s="32">
        <f t="shared" si="3"/>
        <v>2090.34</v>
      </c>
      <c r="T23" s="67"/>
      <c r="U23" s="67">
        <v>0</v>
      </c>
      <c r="V23" s="40">
        <f t="shared" si="4"/>
        <v>1045.17</v>
      </c>
      <c r="W23" s="32">
        <f t="shared" si="5"/>
        <v>0</v>
      </c>
      <c r="X23" s="67"/>
      <c r="Y23" s="67">
        <v>0</v>
      </c>
      <c r="Z23" s="40">
        <f t="shared" si="6"/>
        <v>1045.17</v>
      </c>
      <c r="AA23" s="32">
        <f t="shared" si="7"/>
        <v>0</v>
      </c>
    </row>
    <row r="24" spans="1:27">
      <c r="A24" s="14"/>
      <c r="B24" s="31"/>
      <c r="C24" s="28" t="s">
        <v>105</v>
      </c>
      <c r="D24" s="67" t="s">
        <v>69</v>
      </c>
      <c r="E24" s="29">
        <f t="shared" si="0"/>
        <v>4</v>
      </c>
      <c r="F24" s="40">
        <v>3497.45</v>
      </c>
      <c r="G24" s="32">
        <f t="shared" si="1"/>
        <v>13989.8</v>
      </c>
      <c r="H24" s="67"/>
      <c r="I24" s="67">
        <v>0</v>
      </c>
      <c r="J24" s="40">
        <f t="shared" si="8"/>
        <v>3497.45</v>
      </c>
      <c r="K24" s="32">
        <f t="shared" si="9"/>
        <v>0</v>
      </c>
      <c r="L24" s="67"/>
      <c r="M24" s="67">
        <v>1</v>
      </c>
      <c r="N24" s="40">
        <v>3497.45</v>
      </c>
      <c r="O24" s="32">
        <f t="shared" si="11"/>
        <v>3497.45</v>
      </c>
      <c r="P24" s="67"/>
      <c r="Q24" s="67">
        <v>1</v>
      </c>
      <c r="R24" s="40">
        <f t="shared" si="2"/>
        <v>3497.45</v>
      </c>
      <c r="S24" s="32">
        <f t="shared" si="3"/>
        <v>3497.45</v>
      </c>
      <c r="T24" s="67"/>
      <c r="U24" s="67">
        <v>2</v>
      </c>
      <c r="V24" s="40">
        <f t="shared" si="4"/>
        <v>3497.45</v>
      </c>
      <c r="W24" s="32">
        <f t="shared" si="5"/>
        <v>6994.9</v>
      </c>
      <c r="X24" s="67"/>
      <c r="Y24" s="67">
        <v>0</v>
      </c>
      <c r="Z24" s="40">
        <f t="shared" si="6"/>
        <v>3497.45</v>
      </c>
      <c r="AA24" s="32">
        <f t="shared" si="7"/>
        <v>0</v>
      </c>
    </row>
    <row r="25" spans="1:27">
      <c r="A25" s="14"/>
      <c r="B25" s="31"/>
      <c r="C25" s="28" t="s">
        <v>106</v>
      </c>
      <c r="D25" s="67" t="s">
        <v>69</v>
      </c>
      <c r="E25" s="29">
        <f t="shared" si="0"/>
        <v>3</v>
      </c>
      <c r="F25" s="40">
        <v>570.48</v>
      </c>
      <c r="G25" s="32">
        <f t="shared" si="1"/>
        <v>1711.44</v>
      </c>
      <c r="H25" s="67"/>
      <c r="I25" s="67">
        <v>0</v>
      </c>
      <c r="J25" s="40">
        <f t="shared" si="8"/>
        <v>570.48</v>
      </c>
      <c r="K25" s="32">
        <f t="shared" si="9"/>
        <v>0</v>
      </c>
      <c r="L25" s="67"/>
      <c r="M25" s="67">
        <v>3</v>
      </c>
      <c r="N25" s="40">
        <v>570.48</v>
      </c>
      <c r="O25" s="32">
        <f t="shared" si="11"/>
        <v>1711.44</v>
      </c>
      <c r="P25" s="67"/>
      <c r="Q25" s="67">
        <v>0</v>
      </c>
      <c r="R25" s="40">
        <f t="shared" si="2"/>
        <v>570.48</v>
      </c>
      <c r="S25" s="32">
        <f t="shared" si="3"/>
        <v>0</v>
      </c>
      <c r="T25" s="67"/>
      <c r="U25" s="67">
        <v>0</v>
      </c>
      <c r="V25" s="40">
        <f t="shared" si="4"/>
        <v>570.48</v>
      </c>
      <c r="W25" s="32">
        <f t="shared" si="5"/>
        <v>0</v>
      </c>
      <c r="X25" s="67"/>
      <c r="Y25" s="67">
        <v>0</v>
      </c>
      <c r="Z25" s="40">
        <f t="shared" si="6"/>
        <v>570.48</v>
      </c>
      <c r="AA25" s="32">
        <f t="shared" si="7"/>
        <v>0</v>
      </c>
    </row>
    <row r="26" spans="1:27">
      <c r="A26" s="14"/>
      <c r="B26" s="31"/>
      <c r="C26" s="28" t="s">
        <v>107</v>
      </c>
      <c r="D26" s="67" t="s">
        <v>69</v>
      </c>
      <c r="E26" s="29">
        <f t="shared" si="0"/>
        <v>1</v>
      </c>
      <c r="F26" s="32">
        <v>1423.24</v>
      </c>
      <c r="G26" s="32">
        <f t="shared" si="1"/>
        <v>1423.24</v>
      </c>
      <c r="H26" s="67"/>
      <c r="I26" s="67">
        <v>0</v>
      </c>
      <c r="J26" s="40">
        <f t="shared" si="8"/>
        <v>1423.24</v>
      </c>
      <c r="K26" s="32">
        <f t="shared" si="9"/>
        <v>0</v>
      </c>
      <c r="L26" s="67"/>
      <c r="M26" s="67">
        <v>0</v>
      </c>
      <c r="N26" s="40">
        <f t="shared" si="10"/>
        <v>1423.24</v>
      </c>
      <c r="O26" s="32">
        <f t="shared" si="11"/>
        <v>0</v>
      </c>
      <c r="P26" s="67"/>
      <c r="Q26" s="67">
        <v>0</v>
      </c>
      <c r="R26" s="40">
        <f t="shared" si="2"/>
        <v>1423.24</v>
      </c>
      <c r="S26" s="32">
        <f t="shared" si="3"/>
        <v>0</v>
      </c>
      <c r="T26" s="67"/>
      <c r="U26" s="67">
        <v>1</v>
      </c>
      <c r="V26" s="40">
        <f t="shared" si="4"/>
        <v>1423.24</v>
      </c>
      <c r="W26" s="32">
        <f t="shared" si="5"/>
        <v>1423.24</v>
      </c>
      <c r="X26" s="67"/>
      <c r="Y26" s="67">
        <v>0</v>
      </c>
      <c r="Z26" s="40">
        <f t="shared" si="6"/>
        <v>1423.24</v>
      </c>
      <c r="AA26" s="32">
        <f t="shared" si="7"/>
        <v>0</v>
      </c>
    </row>
    <row r="27" spans="1:27">
      <c r="A27" s="14"/>
      <c r="B27" s="31"/>
      <c r="C27" s="28" t="s">
        <v>108</v>
      </c>
      <c r="D27" s="67" t="s">
        <v>69</v>
      </c>
      <c r="E27" s="29">
        <f t="shared" si="0"/>
        <v>11</v>
      </c>
      <c r="F27" s="40">
        <v>572.97</v>
      </c>
      <c r="G27" s="32">
        <f t="shared" si="1"/>
        <v>6302.67</v>
      </c>
      <c r="H27" s="67"/>
      <c r="I27" s="67">
        <v>0</v>
      </c>
      <c r="J27" s="40">
        <f t="shared" si="8"/>
        <v>572.97</v>
      </c>
      <c r="K27" s="32">
        <f t="shared" si="9"/>
        <v>0</v>
      </c>
      <c r="L27" s="67"/>
      <c r="M27" s="67">
        <v>5</v>
      </c>
      <c r="N27" s="40">
        <v>572.97</v>
      </c>
      <c r="O27" s="32">
        <f t="shared" si="11"/>
        <v>2864.8500000000004</v>
      </c>
      <c r="P27" s="67"/>
      <c r="Q27" s="67">
        <v>4</v>
      </c>
      <c r="R27" s="40">
        <f t="shared" si="2"/>
        <v>572.97</v>
      </c>
      <c r="S27" s="32">
        <f t="shared" si="3"/>
        <v>2291.88</v>
      </c>
      <c r="T27" s="67"/>
      <c r="U27" s="67">
        <v>2</v>
      </c>
      <c r="V27" s="40">
        <f t="shared" si="4"/>
        <v>572.97</v>
      </c>
      <c r="W27" s="32">
        <f t="shared" si="5"/>
        <v>1145.94</v>
      </c>
      <c r="X27" s="67"/>
      <c r="Y27" s="67">
        <v>0</v>
      </c>
      <c r="Z27" s="40">
        <f t="shared" si="6"/>
        <v>572.97</v>
      </c>
      <c r="AA27" s="32">
        <f t="shared" si="7"/>
        <v>0</v>
      </c>
    </row>
    <row r="28" spans="1:27">
      <c r="A28" s="14"/>
      <c r="B28" s="31"/>
      <c r="C28" s="28" t="s">
        <v>109</v>
      </c>
      <c r="D28" s="67" t="s">
        <v>69</v>
      </c>
      <c r="E28" s="29">
        <f t="shared" si="0"/>
        <v>1</v>
      </c>
      <c r="F28" s="32">
        <v>679.24</v>
      </c>
      <c r="G28" s="32">
        <f t="shared" si="1"/>
        <v>679.24</v>
      </c>
      <c r="H28" s="67"/>
      <c r="I28" s="67">
        <v>0</v>
      </c>
      <c r="J28" s="40">
        <f t="shared" si="8"/>
        <v>679.24</v>
      </c>
      <c r="K28" s="32">
        <f t="shared" si="9"/>
        <v>0</v>
      </c>
      <c r="L28" s="67"/>
      <c r="M28" s="67">
        <v>0</v>
      </c>
      <c r="N28" s="40">
        <f t="shared" si="10"/>
        <v>679.24</v>
      </c>
      <c r="O28" s="32">
        <f t="shared" si="11"/>
        <v>0</v>
      </c>
      <c r="P28" s="67"/>
      <c r="Q28" s="67">
        <v>0</v>
      </c>
      <c r="R28" s="40">
        <f t="shared" si="2"/>
        <v>679.24</v>
      </c>
      <c r="S28" s="32">
        <f t="shared" si="3"/>
        <v>0</v>
      </c>
      <c r="T28" s="67"/>
      <c r="U28" s="67">
        <v>1</v>
      </c>
      <c r="V28" s="40">
        <f t="shared" si="4"/>
        <v>679.24</v>
      </c>
      <c r="W28" s="32">
        <f t="shared" si="5"/>
        <v>679.24</v>
      </c>
      <c r="X28" s="67"/>
      <c r="Y28" s="67">
        <v>0</v>
      </c>
      <c r="Z28" s="40">
        <f t="shared" si="6"/>
        <v>679.24</v>
      </c>
      <c r="AA28" s="32">
        <f t="shared" si="7"/>
        <v>0</v>
      </c>
    </row>
    <row r="29" spans="1:27">
      <c r="A29" s="14"/>
      <c r="B29" s="31"/>
      <c r="C29" s="28" t="s">
        <v>110</v>
      </c>
      <c r="D29" s="67" t="s">
        <v>69</v>
      </c>
      <c r="E29" s="29">
        <f t="shared" si="0"/>
        <v>18</v>
      </c>
      <c r="F29" s="40">
        <v>732.62</v>
      </c>
      <c r="G29" s="32">
        <f t="shared" si="1"/>
        <v>13187.16</v>
      </c>
      <c r="H29" s="67"/>
      <c r="I29" s="67">
        <v>0</v>
      </c>
      <c r="J29" s="40">
        <f t="shared" si="8"/>
        <v>732.62</v>
      </c>
      <c r="K29" s="32">
        <f t="shared" si="9"/>
        <v>0</v>
      </c>
      <c r="L29" s="67"/>
      <c r="M29" s="67">
        <v>9</v>
      </c>
      <c r="N29" s="40">
        <v>732.62</v>
      </c>
      <c r="O29" s="32">
        <f t="shared" si="11"/>
        <v>6593.58</v>
      </c>
      <c r="P29" s="67"/>
      <c r="Q29" s="67">
        <v>4</v>
      </c>
      <c r="R29" s="40">
        <f t="shared" si="2"/>
        <v>732.62</v>
      </c>
      <c r="S29" s="32">
        <f t="shared" si="3"/>
        <v>2930.48</v>
      </c>
      <c r="T29" s="67"/>
      <c r="U29" s="67">
        <v>5</v>
      </c>
      <c r="V29" s="40">
        <f t="shared" si="4"/>
        <v>732.62</v>
      </c>
      <c r="W29" s="32">
        <f t="shared" si="5"/>
        <v>3663.1</v>
      </c>
      <c r="X29" s="67"/>
      <c r="Y29" s="67">
        <v>0</v>
      </c>
      <c r="Z29" s="40">
        <f t="shared" si="6"/>
        <v>732.62</v>
      </c>
      <c r="AA29" s="32">
        <f t="shared" si="7"/>
        <v>0</v>
      </c>
    </row>
    <row r="30" spans="1:27">
      <c r="A30" s="14"/>
      <c r="B30" s="31"/>
      <c r="C30" s="28" t="s">
        <v>111</v>
      </c>
      <c r="D30" s="67" t="s">
        <v>69</v>
      </c>
      <c r="E30" s="29">
        <f t="shared" si="0"/>
        <v>1</v>
      </c>
      <c r="F30" s="32">
        <v>1031.92</v>
      </c>
      <c r="G30" s="32">
        <f t="shared" si="1"/>
        <v>1031.92</v>
      </c>
      <c r="H30" s="67"/>
      <c r="I30" s="67">
        <v>0</v>
      </c>
      <c r="J30" s="40">
        <f t="shared" si="8"/>
        <v>1031.92</v>
      </c>
      <c r="K30" s="32">
        <f t="shared" si="9"/>
        <v>0</v>
      </c>
      <c r="L30" s="67"/>
      <c r="M30" s="67">
        <v>0</v>
      </c>
      <c r="N30" s="40">
        <f t="shared" si="10"/>
        <v>1031.92</v>
      </c>
      <c r="O30" s="32">
        <f t="shared" si="11"/>
        <v>0</v>
      </c>
      <c r="P30" s="67"/>
      <c r="Q30" s="67">
        <v>1</v>
      </c>
      <c r="R30" s="40">
        <f t="shared" si="2"/>
        <v>1031.92</v>
      </c>
      <c r="S30" s="32">
        <f t="shared" si="3"/>
        <v>1031.92</v>
      </c>
      <c r="T30" s="67"/>
      <c r="U30" s="67">
        <v>0</v>
      </c>
      <c r="V30" s="40">
        <f t="shared" si="4"/>
        <v>1031.92</v>
      </c>
      <c r="W30" s="32">
        <f t="shared" si="5"/>
        <v>0</v>
      </c>
      <c r="X30" s="67"/>
      <c r="Y30" s="67">
        <v>0</v>
      </c>
      <c r="Z30" s="40">
        <f t="shared" si="6"/>
        <v>1031.92</v>
      </c>
      <c r="AA30" s="32">
        <f t="shared" si="7"/>
        <v>0</v>
      </c>
    </row>
    <row r="31" spans="1:27">
      <c r="A31" s="14"/>
      <c r="B31" s="31"/>
      <c r="C31" s="28" t="s">
        <v>114</v>
      </c>
      <c r="D31" s="67" t="s">
        <v>69</v>
      </c>
      <c r="E31" s="29">
        <f t="shared" si="0"/>
        <v>2</v>
      </c>
      <c r="F31" s="32">
        <v>458.65</v>
      </c>
      <c r="G31" s="32">
        <f t="shared" si="1"/>
        <v>917.3</v>
      </c>
      <c r="H31" s="67"/>
      <c r="I31" s="67">
        <v>0</v>
      </c>
      <c r="J31" s="40">
        <f t="shared" si="8"/>
        <v>458.65</v>
      </c>
      <c r="K31" s="32">
        <f t="shared" si="9"/>
        <v>0</v>
      </c>
      <c r="L31" s="67"/>
      <c r="M31" s="67">
        <v>0</v>
      </c>
      <c r="N31" s="40">
        <f t="shared" si="10"/>
        <v>458.65</v>
      </c>
      <c r="O31" s="32">
        <f t="shared" si="11"/>
        <v>0</v>
      </c>
      <c r="P31" s="67"/>
      <c r="Q31" s="67">
        <v>2</v>
      </c>
      <c r="R31" s="40">
        <f t="shared" si="2"/>
        <v>458.65</v>
      </c>
      <c r="S31" s="32">
        <f t="shared" si="3"/>
        <v>917.3</v>
      </c>
      <c r="T31" s="67"/>
      <c r="U31" s="67">
        <v>0</v>
      </c>
      <c r="V31" s="40">
        <f t="shared" si="4"/>
        <v>458.65</v>
      </c>
      <c r="W31" s="32">
        <f t="shared" si="5"/>
        <v>0</v>
      </c>
      <c r="X31" s="67"/>
      <c r="Y31" s="67">
        <v>0</v>
      </c>
      <c r="Z31" s="40">
        <f t="shared" si="6"/>
        <v>458.65</v>
      </c>
      <c r="AA31" s="32">
        <f t="shared" si="7"/>
        <v>0</v>
      </c>
    </row>
    <row r="32" spans="1:27">
      <c r="A32" s="14"/>
      <c r="B32" s="31"/>
      <c r="C32" s="28" t="s">
        <v>799</v>
      </c>
      <c r="D32" s="67" t="s">
        <v>69</v>
      </c>
      <c r="E32" s="29">
        <f t="shared" si="0"/>
        <v>1</v>
      </c>
      <c r="F32" s="32">
        <v>737.68</v>
      </c>
      <c r="G32" s="32">
        <f t="shared" si="1"/>
        <v>737.68</v>
      </c>
      <c r="H32" s="67"/>
      <c r="I32" s="67">
        <v>0</v>
      </c>
      <c r="J32" s="40">
        <f t="shared" si="8"/>
        <v>737.68</v>
      </c>
      <c r="K32" s="32">
        <f t="shared" si="9"/>
        <v>0</v>
      </c>
      <c r="L32" s="67"/>
      <c r="M32" s="67">
        <v>0</v>
      </c>
      <c r="N32" s="40">
        <f t="shared" si="10"/>
        <v>737.68</v>
      </c>
      <c r="O32" s="32">
        <f t="shared" si="11"/>
        <v>0</v>
      </c>
      <c r="P32" s="67"/>
      <c r="Q32" s="67">
        <v>1</v>
      </c>
      <c r="R32" s="40">
        <f t="shared" si="2"/>
        <v>737.68</v>
      </c>
      <c r="S32" s="32">
        <f t="shared" si="3"/>
        <v>737.68</v>
      </c>
      <c r="T32" s="67"/>
      <c r="U32" s="67">
        <v>0</v>
      </c>
      <c r="V32" s="40">
        <f t="shared" si="4"/>
        <v>737.68</v>
      </c>
      <c r="W32" s="32">
        <f t="shared" si="5"/>
        <v>0</v>
      </c>
      <c r="X32" s="67"/>
      <c r="Y32" s="67">
        <v>0</v>
      </c>
      <c r="Z32" s="40">
        <f t="shared" si="6"/>
        <v>737.68</v>
      </c>
      <c r="AA32" s="32">
        <f t="shared" si="7"/>
        <v>0</v>
      </c>
    </row>
    <row r="33" spans="1:27">
      <c r="A33" s="14"/>
      <c r="B33" s="31"/>
      <c r="C33" s="28" t="s">
        <v>802</v>
      </c>
      <c r="D33" s="67" t="s">
        <v>69</v>
      </c>
      <c r="E33" s="29">
        <f t="shared" si="0"/>
        <v>1</v>
      </c>
      <c r="F33" s="40">
        <v>3044.03</v>
      </c>
      <c r="G33" s="32">
        <f t="shared" si="1"/>
        <v>3044.03</v>
      </c>
      <c r="H33" s="67"/>
      <c r="I33" s="67">
        <v>0</v>
      </c>
      <c r="J33" s="40">
        <f t="shared" si="8"/>
        <v>3044.03</v>
      </c>
      <c r="K33" s="32">
        <f t="shared" si="9"/>
        <v>0</v>
      </c>
      <c r="L33" s="67"/>
      <c r="M33" s="67">
        <v>1</v>
      </c>
      <c r="N33" s="40">
        <v>3044.03</v>
      </c>
      <c r="O33" s="32">
        <f t="shared" si="11"/>
        <v>3044.03</v>
      </c>
      <c r="P33" s="67"/>
      <c r="Q33" s="67">
        <v>0</v>
      </c>
      <c r="R33" s="40">
        <f t="shared" si="2"/>
        <v>3044.03</v>
      </c>
      <c r="S33" s="32">
        <f t="shared" si="3"/>
        <v>0</v>
      </c>
      <c r="T33" s="67"/>
      <c r="U33" s="67">
        <v>0</v>
      </c>
      <c r="V33" s="40">
        <f t="shared" si="4"/>
        <v>3044.03</v>
      </c>
      <c r="W33" s="32">
        <f t="shared" si="5"/>
        <v>0</v>
      </c>
      <c r="X33" s="67"/>
      <c r="Y33" s="67">
        <v>0</v>
      </c>
      <c r="Z33" s="40">
        <f t="shared" si="6"/>
        <v>3044.03</v>
      </c>
      <c r="AA33" s="32">
        <f t="shared" si="7"/>
        <v>0</v>
      </c>
    </row>
    <row r="34" spans="1:27">
      <c r="A34" s="14"/>
      <c r="B34" s="31"/>
      <c r="C34" s="28" t="s">
        <v>801</v>
      </c>
      <c r="D34" s="67" t="s">
        <v>69</v>
      </c>
      <c r="E34" s="29">
        <f t="shared" si="0"/>
        <v>1</v>
      </c>
      <c r="F34" s="40">
        <v>3044.03</v>
      </c>
      <c r="G34" s="32">
        <f t="shared" si="1"/>
        <v>3044.03</v>
      </c>
      <c r="H34" s="67"/>
      <c r="I34" s="67">
        <v>0</v>
      </c>
      <c r="J34" s="40">
        <f t="shared" si="8"/>
        <v>3044.03</v>
      </c>
      <c r="K34" s="32">
        <f t="shared" si="9"/>
        <v>0</v>
      </c>
      <c r="L34" s="67"/>
      <c r="M34" s="67">
        <v>1</v>
      </c>
      <c r="N34" s="40">
        <v>3044.03</v>
      </c>
      <c r="O34" s="32">
        <f t="shared" si="11"/>
        <v>3044.03</v>
      </c>
      <c r="P34" s="67"/>
      <c r="Q34" s="67">
        <v>0</v>
      </c>
      <c r="R34" s="40">
        <f t="shared" si="2"/>
        <v>3044.03</v>
      </c>
      <c r="S34" s="32">
        <f t="shared" si="3"/>
        <v>0</v>
      </c>
      <c r="T34" s="67"/>
      <c r="U34" s="67">
        <v>0</v>
      </c>
      <c r="V34" s="40">
        <f t="shared" si="4"/>
        <v>3044.03</v>
      </c>
      <c r="W34" s="32">
        <f t="shared" si="5"/>
        <v>0</v>
      </c>
      <c r="X34" s="67"/>
      <c r="Y34" s="67">
        <v>0</v>
      </c>
      <c r="Z34" s="40">
        <f t="shared" si="6"/>
        <v>3044.03</v>
      </c>
      <c r="AA34" s="32">
        <f t="shared" si="7"/>
        <v>0</v>
      </c>
    </row>
    <row r="35" spans="1:27">
      <c r="A35" s="14"/>
      <c r="B35" s="31"/>
      <c r="C35" s="28" t="s">
        <v>800</v>
      </c>
      <c r="D35" s="67" t="s">
        <v>69</v>
      </c>
      <c r="E35" s="29">
        <f t="shared" si="0"/>
        <v>1</v>
      </c>
      <c r="F35" s="32">
        <v>2670.98</v>
      </c>
      <c r="G35" s="32">
        <f t="shared" si="1"/>
        <v>2670.98</v>
      </c>
      <c r="H35" s="67"/>
      <c r="I35" s="67">
        <v>0</v>
      </c>
      <c r="J35" s="40">
        <f t="shared" si="8"/>
        <v>2670.98</v>
      </c>
      <c r="K35" s="32">
        <f t="shared" si="9"/>
        <v>0</v>
      </c>
      <c r="L35" s="67"/>
      <c r="M35" s="67">
        <v>0</v>
      </c>
      <c r="N35" s="40">
        <f t="shared" si="10"/>
        <v>2670.98</v>
      </c>
      <c r="O35" s="32">
        <f t="shared" si="11"/>
        <v>0</v>
      </c>
      <c r="P35" s="67"/>
      <c r="Q35" s="67">
        <v>0</v>
      </c>
      <c r="R35" s="40">
        <f t="shared" si="2"/>
        <v>2670.98</v>
      </c>
      <c r="S35" s="32">
        <f t="shared" si="3"/>
        <v>0</v>
      </c>
      <c r="T35" s="67"/>
      <c r="U35" s="67">
        <v>0</v>
      </c>
      <c r="V35" s="40">
        <f t="shared" si="4"/>
        <v>2670.98</v>
      </c>
      <c r="W35" s="32">
        <f t="shared" si="5"/>
        <v>0</v>
      </c>
      <c r="X35" s="67"/>
      <c r="Y35" s="67">
        <v>1</v>
      </c>
      <c r="Z35" s="40">
        <f t="shared" si="6"/>
        <v>2670.98</v>
      </c>
      <c r="AA35" s="32">
        <f t="shared" si="7"/>
        <v>2670.98</v>
      </c>
    </row>
    <row r="36" spans="1:27">
      <c r="A36" s="14"/>
      <c r="B36" s="31"/>
      <c r="C36" s="28" t="s">
        <v>112</v>
      </c>
      <c r="D36" s="67" t="s">
        <v>69</v>
      </c>
      <c r="E36" s="29">
        <f t="shared" si="0"/>
        <v>6</v>
      </c>
      <c r="F36" s="40">
        <v>330</v>
      </c>
      <c r="G36" s="32">
        <f t="shared" si="1"/>
        <v>1980</v>
      </c>
      <c r="H36" s="67"/>
      <c r="I36" s="67">
        <v>0</v>
      </c>
      <c r="J36" s="40">
        <f t="shared" si="8"/>
        <v>330</v>
      </c>
      <c r="K36" s="32">
        <f t="shared" si="9"/>
        <v>0</v>
      </c>
      <c r="L36" s="67"/>
      <c r="M36" s="67">
        <v>1</v>
      </c>
      <c r="N36" s="40">
        <v>247.37</v>
      </c>
      <c r="O36" s="32">
        <f t="shared" si="11"/>
        <v>247.37</v>
      </c>
      <c r="P36" s="67"/>
      <c r="Q36" s="67">
        <v>4</v>
      </c>
      <c r="R36" s="40">
        <f t="shared" si="2"/>
        <v>330</v>
      </c>
      <c r="S36" s="32">
        <f t="shared" si="3"/>
        <v>1320</v>
      </c>
      <c r="T36" s="67"/>
      <c r="U36" s="67">
        <v>1</v>
      </c>
      <c r="V36" s="40">
        <f t="shared" si="4"/>
        <v>330</v>
      </c>
      <c r="W36" s="32">
        <f t="shared" si="5"/>
        <v>330</v>
      </c>
      <c r="X36" s="67"/>
      <c r="Y36" s="67">
        <v>0</v>
      </c>
      <c r="Z36" s="40">
        <f t="shared" si="6"/>
        <v>330</v>
      </c>
      <c r="AA36" s="32">
        <f t="shared" si="7"/>
        <v>0</v>
      </c>
    </row>
    <row r="37" spans="1:27">
      <c r="A37" s="14"/>
      <c r="B37" s="31"/>
      <c r="C37" s="28"/>
      <c r="D37" s="67"/>
      <c r="E37" s="67"/>
      <c r="F37" s="32"/>
      <c r="G37" s="32"/>
      <c r="H37" s="67"/>
      <c r="I37" s="67"/>
      <c r="J37" s="32"/>
      <c r="K37" s="32"/>
      <c r="L37" s="67"/>
      <c r="M37" s="67"/>
      <c r="N37" s="32"/>
      <c r="O37" s="32"/>
      <c r="P37" s="67"/>
      <c r="Q37" s="67"/>
      <c r="R37" s="32"/>
      <c r="S37" s="32"/>
      <c r="T37" s="67"/>
      <c r="U37" s="67"/>
      <c r="V37" s="32"/>
      <c r="W37" s="32"/>
      <c r="X37" s="67"/>
      <c r="Y37" s="67"/>
      <c r="Z37" s="32"/>
      <c r="AA37" s="32"/>
    </row>
    <row r="38" spans="1:27">
      <c r="A38" s="35"/>
      <c r="B38" s="27"/>
      <c r="C38" s="38" t="s">
        <v>86</v>
      </c>
      <c r="D38" s="68"/>
      <c r="E38" s="369"/>
      <c r="F38" s="33" t="s">
        <v>10</v>
      </c>
      <c r="G38" s="34">
        <f>K38+O38+S38+W38+AA38</f>
        <v>96042.81</v>
      </c>
      <c r="H38" s="68"/>
      <c r="I38" s="369"/>
      <c r="J38" s="33" t="s">
        <v>10</v>
      </c>
      <c r="K38" s="34">
        <f>SUM(K6:K37)</f>
        <v>6594.9199999999992</v>
      </c>
      <c r="L38" s="68"/>
      <c r="M38" s="369"/>
      <c r="N38" s="33" t="s">
        <v>10</v>
      </c>
      <c r="O38" s="34">
        <f>SUM(O6:O37)</f>
        <v>24035.629999999997</v>
      </c>
      <c r="P38" s="68"/>
      <c r="Q38" s="369"/>
      <c r="R38" s="33" t="s">
        <v>10</v>
      </c>
      <c r="S38" s="34">
        <f>SUM(S6:S37)</f>
        <v>24375.210000000003</v>
      </c>
      <c r="T38" s="68"/>
      <c r="U38" s="369"/>
      <c r="V38" s="33" t="s">
        <v>10</v>
      </c>
      <c r="W38" s="34">
        <f>SUM(W6:W37)</f>
        <v>33867.800000000003</v>
      </c>
      <c r="X38" s="68"/>
      <c r="Y38" s="369"/>
      <c r="Z38" s="33" t="s">
        <v>10</v>
      </c>
      <c r="AA38" s="34">
        <f>SUM(AA6:AA37)</f>
        <v>7169.25</v>
      </c>
    </row>
    <row r="39" spans="1:27">
      <c r="A39" s="35"/>
      <c r="B39" s="27"/>
      <c r="C39" s="36"/>
      <c r="D39" s="68"/>
      <c r="E39" s="369"/>
      <c r="F39" s="33"/>
      <c r="G39" s="34"/>
      <c r="H39" s="68"/>
      <c r="I39" s="369"/>
      <c r="J39" s="33"/>
      <c r="K39" s="34"/>
      <c r="L39" s="68"/>
      <c r="M39" s="369"/>
      <c r="N39" s="33"/>
      <c r="O39" s="34"/>
      <c r="P39" s="68"/>
      <c r="Q39" s="369"/>
      <c r="R39" s="33"/>
      <c r="S39" s="34"/>
      <c r="T39" s="68"/>
      <c r="U39" s="369"/>
      <c r="V39" s="33"/>
      <c r="W39" s="34"/>
      <c r="X39" s="68"/>
      <c r="Y39" s="369"/>
      <c r="Z39" s="33"/>
      <c r="AA39" s="34"/>
    </row>
    <row r="40" spans="1:27">
      <c r="A40" s="14"/>
      <c r="B40" s="31"/>
      <c r="C40" s="28"/>
      <c r="D40" s="67"/>
      <c r="E40" s="67"/>
      <c r="F40" s="33"/>
      <c r="G40" s="34"/>
      <c r="H40" s="67"/>
      <c r="I40" s="67"/>
      <c r="J40" s="33"/>
      <c r="K40" s="34"/>
      <c r="L40" s="67"/>
      <c r="M40" s="67"/>
      <c r="N40" s="33"/>
      <c r="O40" s="34"/>
      <c r="P40" s="67"/>
      <c r="Q40" s="67"/>
      <c r="R40" s="33"/>
      <c r="S40" s="34"/>
      <c r="T40" s="67"/>
      <c r="U40" s="67"/>
      <c r="V40" s="33"/>
      <c r="W40" s="34"/>
      <c r="X40" s="67"/>
      <c r="Y40" s="67"/>
      <c r="Z40" s="33"/>
      <c r="AA40" s="34"/>
    </row>
    <row r="41" spans="1:27">
      <c r="A41" s="61"/>
      <c r="B41" s="62" t="s">
        <v>20</v>
      </c>
      <c r="C41" s="63" t="s">
        <v>542</v>
      </c>
      <c r="D41" s="64"/>
      <c r="E41" s="366"/>
      <c r="F41" s="66"/>
      <c r="G41" s="66"/>
      <c r="H41" s="64"/>
      <c r="I41" s="366"/>
      <c r="J41" s="66"/>
      <c r="K41" s="66"/>
      <c r="L41" s="64"/>
      <c r="M41" s="366"/>
      <c r="N41" s="66"/>
      <c r="O41" s="66"/>
      <c r="P41" s="64"/>
      <c r="Q41" s="366"/>
      <c r="R41" s="66"/>
      <c r="S41" s="66"/>
      <c r="T41" s="64"/>
      <c r="U41" s="366"/>
      <c r="V41" s="66"/>
      <c r="W41" s="66"/>
      <c r="X41" s="64"/>
      <c r="Y41" s="366"/>
      <c r="Z41" s="66"/>
      <c r="AA41" s="66"/>
    </row>
    <row r="42" spans="1:27">
      <c r="A42" s="320"/>
      <c r="B42" s="321"/>
      <c r="C42" s="192" t="s">
        <v>118</v>
      </c>
      <c r="D42" s="197" t="s">
        <v>69</v>
      </c>
      <c r="E42" s="29">
        <f>I42+M42+Q42+U42+Y42</f>
        <v>10</v>
      </c>
      <c r="F42" s="40">
        <v>1204.4100000000001</v>
      </c>
      <c r="G42" s="32">
        <f>E42*F42</f>
        <v>12044.1</v>
      </c>
      <c r="H42" s="197"/>
      <c r="I42" s="67">
        <v>1</v>
      </c>
      <c r="J42" s="40">
        <f t="shared" ref="J42:J43" si="12">$F42</f>
        <v>1204.4100000000001</v>
      </c>
      <c r="K42" s="32">
        <f t="shared" ref="K42:K43" si="13">I42*J42</f>
        <v>1204.4100000000001</v>
      </c>
      <c r="L42" s="197"/>
      <c r="M42" s="67">
        <v>0</v>
      </c>
      <c r="N42" s="40">
        <f t="shared" ref="N42:N43" si="14">$F42</f>
        <v>1204.4100000000001</v>
      </c>
      <c r="O42" s="32">
        <f t="shared" ref="O42:O43" si="15">M42*N42</f>
        <v>0</v>
      </c>
      <c r="P42" s="197"/>
      <c r="Q42" s="67">
        <v>4</v>
      </c>
      <c r="R42" s="40">
        <f t="shared" ref="R42:R43" si="16">$F42</f>
        <v>1204.4100000000001</v>
      </c>
      <c r="S42" s="32">
        <f t="shared" ref="S42:S43" si="17">Q42*R42</f>
        <v>4817.6400000000003</v>
      </c>
      <c r="T42" s="197"/>
      <c r="U42" s="67">
        <v>5</v>
      </c>
      <c r="V42" s="40">
        <f t="shared" ref="V42:V43" si="18">$F42</f>
        <v>1204.4100000000001</v>
      </c>
      <c r="W42" s="32">
        <f t="shared" ref="W42:W43" si="19">U42*V42</f>
        <v>6022.05</v>
      </c>
      <c r="X42" s="197"/>
      <c r="Y42" s="67">
        <v>0</v>
      </c>
      <c r="Z42" s="40">
        <f t="shared" ref="Z42:Z43" si="20">$F42</f>
        <v>1204.4100000000001</v>
      </c>
      <c r="AA42" s="32">
        <f t="shared" ref="AA42:AA43" si="21">Y42*Z42</f>
        <v>0</v>
      </c>
    </row>
    <row r="43" spans="1:27">
      <c r="A43" s="320"/>
      <c r="B43" s="321"/>
      <c r="C43" s="192" t="s">
        <v>117</v>
      </c>
      <c r="D43" s="197" t="s">
        <v>69</v>
      </c>
      <c r="E43" s="29">
        <f>I43+M43+Q43+U43+Y43</f>
        <v>12</v>
      </c>
      <c r="F43" s="40">
        <v>597.27</v>
      </c>
      <c r="G43" s="32">
        <f>E43*F43</f>
        <v>7167.24</v>
      </c>
      <c r="H43" s="197"/>
      <c r="I43" s="67">
        <v>0</v>
      </c>
      <c r="J43" s="40">
        <f t="shared" si="12"/>
        <v>597.27</v>
      </c>
      <c r="K43" s="32">
        <f t="shared" si="13"/>
        <v>0</v>
      </c>
      <c r="L43" s="197"/>
      <c r="M43" s="67">
        <v>2</v>
      </c>
      <c r="N43" s="40">
        <f t="shared" si="14"/>
        <v>597.27</v>
      </c>
      <c r="O43" s="32">
        <f t="shared" si="15"/>
        <v>1194.54</v>
      </c>
      <c r="P43" s="197"/>
      <c r="Q43" s="67">
        <v>3</v>
      </c>
      <c r="R43" s="40">
        <f t="shared" si="16"/>
        <v>597.27</v>
      </c>
      <c r="S43" s="32">
        <f t="shared" si="17"/>
        <v>1791.81</v>
      </c>
      <c r="T43" s="197"/>
      <c r="U43" s="67">
        <v>6</v>
      </c>
      <c r="V43" s="40">
        <f t="shared" si="18"/>
        <v>597.27</v>
      </c>
      <c r="W43" s="32">
        <f t="shared" si="19"/>
        <v>3583.62</v>
      </c>
      <c r="X43" s="197"/>
      <c r="Y43" s="67">
        <v>1</v>
      </c>
      <c r="Z43" s="40">
        <f t="shared" si="20"/>
        <v>597.27</v>
      </c>
      <c r="AA43" s="32">
        <f t="shared" si="21"/>
        <v>597.27</v>
      </c>
    </row>
    <row r="44" spans="1:27">
      <c r="A44" s="14"/>
      <c r="B44" s="31"/>
      <c r="C44" s="28"/>
      <c r="D44" s="67"/>
      <c r="E44" s="67"/>
      <c r="F44" s="32"/>
      <c r="G44" s="32"/>
      <c r="H44" s="67"/>
      <c r="I44" s="67"/>
      <c r="J44" s="32"/>
      <c r="K44" s="32"/>
      <c r="L44" s="67"/>
      <c r="M44" s="67"/>
      <c r="N44" s="32"/>
      <c r="O44" s="32"/>
      <c r="P44" s="67"/>
      <c r="Q44" s="67"/>
      <c r="R44" s="32"/>
      <c r="S44" s="32"/>
      <c r="T44" s="67"/>
      <c r="U44" s="67"/>
      <c r="V44" s="32"/>
      <c r="W44" s="32"/>
      <c r="X44" s="67"/>
      <c r="Y44" s="67"/>
      <c r="Z44" s="32"/>
      <c r="AA44" s="32"/>
    </row>
    <row r="45" spans="1:27">
      <c r="A45" s="35"/>
      <c r="B45" s="27"/>
      <c r="C45" s="38" t="s">
        <v>543</v>
      </c>
      <c r="D45" s="68"/>
      <c r="E45" s="369"/>
      <c r="F45" s="33" t="s">
        <v>10</v>
      </c>
      <c r="G45" s="34">
        <f>K45+O45+S45+W45+AA45</f>
        <v>19211.34</v>
      </c>
      <c r="H45" s="68"/>
      <c r="I45" s="369"/>
      <c r="J45" s="33" t="s">
        <v>10</v>
      </c>
      <c r="K45" s="34">
        <f>SUM(K41:K44)</f>
        <v>1204.4100000000001</v>
      </c>
      <c r="L45" s="68"/>
      <c r="M45" s="369"/>
      <c r="N45" s="33" t="s">
        <v>10</v>
      </c>
      <c r="O45" s="34">
        <f>SUM(O41:O44)</f>
        <v>1194.54</v>
      </c>
      <c r="P45" s="68"/>
      <c r="Q45" s="369"/>
      <c r="R45" s="33" t="s">
        <v>10</v>
      </c>
      <c r="S45" s="34">
        <f>SUM(S41:S44)</f>
        <v>6609.4500000000007</v>
      </c>
      <c r="T45" s="68"/>
      <c r="U45" s="369"/>
      <c r="V45" s="33" t="s">
        <v>10</v>
      </c>
      <c r="W45" s="34">
        <f>SUM(W41:W44)</f>
        <v>9605.67</v>
      </c>
      <c r="X45" s="68"/>
      <c r="Y45" s="369"/>
      <c r="Z45" s="33" t="s">
        <v>10</v>
      </c>
      <c r="AA45" s="34">
        <f>SUM(AA41:AA44)</f>
        <v>597.27</v>
      </c>
    </row>
    <row r="46" spans="1:27">
      <c r="A46" s="35"/>
      <c r="B46" s="27"/>
      <c r="C46" s="36"/>
      <c r="D46" s="68"/>
      <c r="E46" s="369"/>
      <c r="F46" s="33"/>
      <c r="G46" s="34"/>
      <c r="H46" s="68"/>
      <c r="I46" s="369"/>
      <c r="J46" s="33"/>
      <c r="K46" s="34"/>
      <c r="L46" s="68"/>
      <c r="M46" s="369"/>
      <c r="N46" s="33"/>
      <c r="O46" s="34"/>
      <c r="P46" s="68"/>
      <c r="Q46" s="369"/>
      <c r="R46" s="33"/>
      <c r="S46" s="34"/>
      <c r="T46" s="68"/>
      <c r="U46" s="369"/>
      <c r="V46" s="33"/>
      <c r="W46" s="34"/>
      <c r="X46" s="68"/>
      <c r="Y46" s="369"/>
      <c r="Z46" s="33"/>
      <c r="AA46" s="34"/>
    </row>
    <row r="47" spans="1:27">
      <c r="A47" s="14"/>
      <c r="B47" s="31"/>
      <c r="C47" s="28"/>
      <c r="D47" s="67"/>
      <c r="E47" s="67"/>
      <c r="F47" s="33"/>
      <c r="G47" s="34"/>
      <c r="H47" s="67"/>
      <c r="I47" s="67"/>
      <c r="J47" s="33"/>
      <c r="K47" s="34"/>
      <c r="L47" s="67"/>
      <c r="M47" s="67"/>
      <c r="N47" s="33"/>
      <c r="O47" s="34"/>
      <c r="P47" s="67"/>
      <c r="Q47" s="67"/>
      <c r="R47" s="33"/>
      <c r="S47" s="34"/>
      <c r="T47" s="67"/>
      <c r="U47" s="67"/>
      <c r="V47" s="33"/>
      <c r="W47" s="34"/>
      <c r="X47" s="67"/>
      <c r="Y47" s="67"/>
      <c r="Z47" s="33"/>
      <c r="AA47" s="34"/>
    </row>
    <row r="48" spans="1:27">
      <c r="A48" s="61"/>
      <c r="B48" s="62" t="s">
        <v>21</v>
      </c>
      <c r="C48" s="63" t="s">
        <v>76</v>
      </c>
      <c r="D48" s="64"/>
      <c r="E48" s="366"/>
      <c r="F48" s="66"/>
      <c r="G48" s="66"/>
      <c r="H48" s="64"/>
      <c r="I48" s="366"/>
      <c r="J48" s="66"/>
      <c r="K48" s="66"/>
      <c r="L48" s="64"/>
      <c r="M48" s="366"/>
      <c r="N48" s="66"/>
      <c r="O48" s="66"/>
      <c r="P48" s="64"/>
      <c r="Q48" s="366"/>
      <c r="R48" s="66"/>
      <c r="S48" s="66"/>
      <c r="T48" s="64"/>
      <c r="U48" s="366"/>
      <c r="V48" s="66"/>
      <c r="W48" s="66"/>
      <c r="X48" s="64"/>
      <c r="Y48" s="366"/>
      <c r="Z48" s="66"/>
      <c r="AA48" s="66"/>
    </row>
    <row r="49" spans="1:27">
      <c r="A49" s="14"/>
      <c r="B49" s="31"/>
      <c r="C49" s="192" t="s">
        <v>113</v>
      </c>
      <c r="D49" s="67" t="s">
        <v>11</v>
      </c>
      <c r="E49" s="29">
        <f>I49+M49+Q49+U49+Y49</f>
        <v>0</v>
      </c>
      <c r="F49" s="40">
        <v>0</v>
      </c>
      <c r="G49" s="32">
        <f>E49*F49</f>
        <v>0</v>
      </c>
      <c r="H49" s="67"/>
      <c r="I49" s="67">
        <v>0</v>
      </c>
      <c r="J49" s="40">
        <f t="shared" ref="J49:J53" si="22">$F49</f>
        <v>0</v>
      </c>
      <c r="K49" s="32">
        <f t="shared" ref="K49:K53" si="23">I49*J49</f>
        <v>0</v>
      </c>
      <c r="L49" s="67"/>
      <c r="M49" s="67">
        <v>0</v>
      </c>
      <c r="N49" s="40">
        <f t="shared" ref="N49:N53" si="24">$F49</f>
        <v>0</v>
      </c>
      <c r="O49" s="32">
        <f t="shared" ref="O49:O53" si="25">M49*N49</f>
        <v>0</v>
      </c>
      <c r="P49" s="67"/>
      <c r="Q49" s="67">
        <v>0</v>
      </c>
      <c r="R49" s="40">
        <f t="shared" ref="R49:R53" si="26">$F49</f>
        <v>0</v>
      </c>
      <c r="S49" s="32">
        <f t="shared" ref="S49:S53" si="27">Q49*R49</f>
        <v>0</v>
      </c>
      <c r="T49" s="67"/>
      <c r="U49" s="67">
        <v>0</v>
      </c>
      <c r="V49" s="40">
        <f t="shared" ref="V49:V53" si="28">$F49</f>
        <v>0</v>
      </c>
      <c r="W49" s="32">
        <f t="shared" ref="W49:W53" si="29">U49*V49</f>
        <v>0</v>
      </c>
      <c r="X49" s="67"/>
      <c r="Y49" s="67">
        <v>0</v>
      </c>
      <c r="Z49" s="40">
        <f t="shared" ref="Z49:Z53" si="30">$F49</f>
        <v>0</v>
      </c>
      <c r="AA49" s="32">
        <f t="shared" ref="AA49:AA53" si="31">Y49*Z49</f>
        <v>0</v>
      </c>
    </row>
    <row r="50" spans="1:27">
      <c r="A50" s="14"/>
      <c r="B50" s="31"/>
      <c r="C50" s="192" t="s">
        <v>513</v>
      </c>
      <c r="D50" s="67" t="s">
        <v>11</v>
      </c>
      <c r="E50" s="29">
        <f>I50+M50+Q50+U50+Y50</f>
        <v>13</v>
      </c>
      <c r="F50" s="40">
        <v>841.45</v>
      </c>
      <c r="G50" s="32">
        <f>E50*F50</f>
        <v>10938.85</v>
      </c>
      <c r="H50" s="67"/>
      <c r="I50" s="67">
        <v>13</v>
      </c>
      <c r="J50" s="40">
        <f t="shared" si="22"/>
        <v>841.45</v>
      </c>
      <c r="K50" s="32">
        <f t="shared" si="23"/>
        <v>10938.85</v>
      </c>
      <c r="L50" s="67"/>
      <c r="M50" s="67">
        <v>0</v>
      </c>
      <c r="N50" s="40">
        <f t="shared" si="24"/>
        <v>841.45</v>
      </c>
      <c r="O50" s="32">
        <f t="shared" si="25"/>
        <v>0</v>
      </c>
      <c r="P50" s="67"/>
      <c r="Q50" s="67">
        <v>0</v>
      </c>
      <c r="R50" s="40">
        <f t="shared" si="26"/>
        <v>841.45</v>
      </c>
      <c r="S50" s="32">
        <f t="shared" si="27"/>
        <v>0</v>
      </c>
      <c r="T50" s="67"/>
      <c r="U50" s="67">
        <v>0</v>
      </c>
      <c r="V50" s="40">
        <f t="shared" si="28"/>
        <v>841.45</v>
      </c>
      <c r="W50" s="32">
        <f t="shared" si="29"/>
        <v>0</v>
      </c>
      <c r="X50" s="67"/>
      <c r="Y50" s="67">
        <v>0</v>
      </c>
      <c r="Z50" s="40">
        <f t="shared" si="30"/>
        <v>841.45</v>
      </c>
      <c r="AA50" s="32">
        <f t="shared" si="31"/>
        <v>0</v>
      </c>
    </row>
    <row r="51" spans="1:27">
      <c r="A51" s="14"/>
      <c r="B51" s="31"/>
      <c r="C51" s="192" t="s">
        <v>139</v>
      </c>
      <c r="D51" s="67" t="s">
        <v>11</v>
      </c>
      <c r="E51" s="29">
        <f>I51+M51+Q51+U51+Y51</f>
        <v>18</v>
      </c>
      <c r="F51" s="40">
        <v>758.41</v>
      </c>
      <c r="G51" s="32">
        <f>E51*F51</f>
        <v>13651.38</v>
      </c>
      <c r="H51" s="67"/>
      <c r="I51" s="67">
        <v>0</v>
      </c>
      <c r="J51" s="40">
        <f t="shared" si="22"/>
        <v>758.41</v>
      </c>
      <c r="K51" s="32">
        <f t="shared" si="23"/>
        <v>0</v>
      </c>
      <c r="L51" s="67"/>
      <c r="M51" s="67">
        <v>0</v>
      </c>
      <c r="N51" s="40">
        <f t="shared" si="24"/>
        <v>758.41</v>
      </c>
      <c r="O51" s="32">
        <f t="shared" si="25"/>
        <v>0</v>
      </c>
      <c r="P51" s="67"/>
      <c r="Q51" s="67">
        <v>18</v>
      </c>
      <c r="R51" s="40">
        <f t="shared" si="26"/>
        <v>758.41</v>
      </c>
      <c r="S51" s="32">
        <f t="shared" si="27"/>
        <v>13651.38</v>
      </c>
      <c r="T51" s="67"/>
      <c r="U51" s="67">
        <v>0</v>
      </c>
      <c r="V51" s="40">
        <f t="shared" si="28"/>
        <v>758.41</v>
      </c>
      <c r="W51" s="32">
        <f t="shared" si="29"/>
        <v>0</v>
      </c>
      <c r="X51" s="67"/>
      <c r="Y51" s="67">
        <v>0</v>
      </c>
      <c r="Z51" s="40">
        <f t="shared" si="30"/>
        <v>758.41</v>
      </c>
      <c r="AA51" s="32">
        <f t="shared" si="31"/>
        <v>0</v>
      </c>
    </row>
    <row r="52" spans="1:27">
      <c r="A52" s="14"/>
      <c r="B52" s="31"/>
      <c r="C52" s="192" t="s">
        <v>140</v>
      </c>
      <c r="D52" s="67" t="s">
        <v>11</v>
      </c>
      <c r="E52" s="29">
        <f>I52+M52+Q52+U52+Y52</f>
        <v>32</v>
      </c>
      <c r="F52" s="40">
        <v>758.41</v>
      </c>
      <c r="G52" s="32">
        <f>E52*F52</f>
        <v>24269.119999999999</v>
      </c>
      <c r="H52" s="67"/>
      <c r="I52" s="67">
        <v>0</v>
      </c>
      <c r="J52" s="40">
        <f t="shared" si="22"/>
        <v>758.41</v>
      </c>
      <c r="K52" s="32">
        <f t="shared" si="23"/>
        <v>0</v>
      </c>
      <c r="L52" s="67"/>
      <c r="M52" s="67">
        <v>0</v>
      </c>
      <c r="N52" s="40">
        <f t="shared" si="24"/>
        <v>758.41</v>
      </c>
      <c r="O52" s="32">
        <f t="shared" si="25"/>
        <v>0</v>
      </c>
      <c r="P52" s="67"/>
      <c r="Q52" s="67">
        <v>14</v>
      </c>
      <c r="R52" s="40">
        <f t="shared" si="26"/>
        <v>758.41</v>
      </c>
      <c r="S52" s="32">
        <f t="shared" si="27"/>
        <v>10617.74</v>
      </c>
      <c r="T52" s="67"/>
      <c r="U52" s="67">
        <v>18</v>
      </c>
      <c r="V52" s="40">
        <f t="shared" si="28"/>
        <v>758.41</v>
      </c>
      <c r="W52" s="32">
        <f t="shared" si="29"/>
        <v>13651.38</v>
      </c>
      <c r="X52" s="67"/>
      <c r="Y52" s="67">
        <v>0</v>
      </c>
      <c r="Z52" s="40">
        <f t="shared" si="30"/>
        <v>758.41</v>
      </c>
      <c r="AA52" s="32">
        <f t="shared" si="31"/>
        <v>0</v>
      </c>
    </row>
    <row r="53" spans="1:27">
      <c r="A53" s="14"/>
      <c r="B53" s="31"/>
      <c r="C53" s="192" t="s">
        <v>541</v>
      </c>
      <c r="D53" s="67" t="s">
        <v>11</v>
      </c>
      <c r="E53" s="29">
        <f>I53+M53+Q53+U53+Y53</f>
        <v>50</v>
      </c>
      <c r="F53" s="32">
        <v>270.23</v>
      </c>
      <c r="G53" s="32">
        <f>E53*F53</f>
        <v>13511.5</v>
      </c>
      <c r="H53" s="67"/>
      <c r="I53" s="67">
        <v>0</v>
      </c>
      <c r="J53" s="40">
        <f t="shared" si="22"/>
        <v>270.23</v>
      </c>
      <c r="K53" s="32">
        <f t="shared" si="23"/>
        <v>0</v>
      </c>
      <c r="L53" s="67"/>
      <c r="M53" s="67">
        <v>0</v>
      </c>
      <c r="N53" s="40">
        <f t="shared" si="24"/>
        <v>270.23</v>
      </c>
      <c r="O53" s="32">
        <f t="shared" si="25"/>
        <v>0</v>
      </c>
      <c r="P53" s="67"/>
      <c r="Q53" s="67">
        <v>32</v>
      </c>
      <c r="R53" s="40">
        <f t="shared" si="26"/>
        <v>270.23</v>
      </c>
      <c r="S53" s="32">
        <f t="shared" si="27"/>
        <v>8647.36</v>
      </c>
      <c r="T53" s="67"/>
      <c r="U53" s="67">
        <v>18</v>
      </c>
      <c r="V53" s="40">
        <f t="shared" si="28"/>
        <v>270.23</v>
      </c>
      <c r="W53" s="32">
        <f t="shared" si="29"/>
        <v>4864.1400000000003</v>
      </c>
      <c r="X53" s="67"/>
      <c r="Y53" s="67">
        <v>0</v>
      </c>
      <c r="Z53" s="40">
        <f t="shared" si="30"/>
        <v>270.23</v>
      </c>
      <c r="AA53" s="32">
        <f t="shared" si="31"/>
        <v>0</v>
      </c>
    </row>
    <row r="54" spans="1:27">
      <c r="A54" s="14"/>
      <c r="B54" s="31"/>
      <c r="C54" s="28"/>
      <c r="D54" s="67"/>
      <c r="E54" s="67"/>
      <c r="F54" s="32"/>
      <c r="G54" s="32"/>
      <c r="H54" s="67"/>
      <c r="I54" s="67"/>
      <c r="J54" s="32"/>
      <c r="K54" s="32"/>
      <c r="L54" s="67"/>
      <c r="M54" s="67"/>
      <c r="N54" s="32"/>
      <c r="O54" s="32"/>
      <c r="P54" s="67"/>
      <c r="Q54" s="67"/>
      <c r="R54" s="32"/>
      <c r="S54" s="32"/>
      <c r="T54" s="67"/>
      <c r="U54" s="67"/>
      <c r="V54" s="32"/>
      <c r="W54" s="32"/>
      <c r="X54" s="67"/>
      <c r="Y54" s="67"/>
      <c r="Z54" s="32"/>
      <c r="AA54" s="32"/>
    </row>
    <row r="55" spans="1:27">
      <c r="A55" s="35"/>
      <c r="B55" s="27"/>
      <c r="C55" s="38" t="s">
        <v>87</v>
      </c>
      <c r="D55" s="68"/>
      <c r="E55" s="369"/>
      <c r="F55" s="33" t="s">
        <v>10</v>
      </c>
      <c r="G55" s="34">
        <f>K55+O55+S55+W55+AA55</f>
        <v>62370.849999999991</v>
      </c>
      <c r="H55" s="68"/>
      <c r="I55" s="369"/>
      <c r="J55" s="33" t="s">
        <v>10</v>
      </c>
      <c r="K55" s="34">
        <f>SUM(K48:K54)</f>
        <v>10938.85</v>
      </c>
      <c r="L55" s="68"/>
      <c r="M55" s="369"/>
      <c r="N55" s="33" t="s">
        <v>10</v>
      </c>
      <c r="O55" s="34">
        <f>SUM(O48:O54)</f>
        <v>0</v>
      </c>
      <c r="P55" s="68"/>
      <c r="Q55" s="369"/>
      <c r="R55" s="33" t="s">
        <v>10</v>
      </c>
      <c r="S55" s="34">
        <f>SUM(S48:S54)</f>
        <v>32916.479999999996</v>
      </c>
      <c r="T55" s="68"/>
      <c r="U55" s="369"/>
      <c r="V55" s="33" t="s">
        <v>10</v>
      </c>
      <c r="W55" s="34">
        <f>SUM(W48:W54)</f>
        <v>18515.52</v>
      </c>
      <c r="X55" s="68"/>
      <c r="Y55" s="369"/>
      <c r="Z55" s="33" t="s">
        <v>10</v>
      </c>
      <c r="AA55" s="34">
        <f>SUM(AA48:AA54)</f>
        <v>0</v>
      </c>
    </row>
    <row r="56" spans="1:27">
      <c r="A56" s="35"/>
      <c r="B56" s="27"/>
      <c r="C56" s="36"/>
      <c r="D56" s="68"/>
      <c r="E56" s="369"/>
      <c r="F56" s="33"/>
      <c r="G56" s="34"/>
      <c r="H56" s="68"/>
      <c r="I56" s="369"/>
      <c r="J56" s="33"/>
      <c r="K56" s="34"/>
      <c r="L56" s="68"/>
      <c r="M56" s="369"/>
      <c r="N56" s="33"/>
      <c r="O56" s="34"/>
      <c r="P56" s="68"/>
      <c r="Q56" s="369"/>
      <c r="R56" s="33"/>
      <c r="S56" s="34"/>
      <c r="T56" s="68"/>
      <c r="U56" s="369"/>
      <c r="V56" s="33"/>
      <c r="W56" s="34"/>
      <c r="X56" s="68"/>
      <c r="Y56" s="369"/>
      <c r="Z56" s="33"/>
      <c r="AA56" s="34"/>
    </row>
    <row r="57" spans="1:27">
      <c r="A57" s="35"/>
      <c r="B57" s="27"/>
      <c r="C57" s="36"/>
      <c r="D57" s="68"/>
      <c r="E57" s="369"/>
      <c r="F57" s="33"/>
      <c r="G57" s="34"/>
      <c r="H57" s="68"/>
      <c r="I57" s="369"/>
      <c r="J57" s="33"/>
      <c r="K57" s="34"/>
      <c r="L57" s="68"/>
      <c r="M57" s="369"/>
      <c r="N57" s="33"/>
      <c r="O57" s="34"/>
      <c r="P57" s="68"/>
      <c r="Q57" s="369"/>
      <c r="R57" s="33"/>
      <c r="S57" s="34"/>
      <c r="T57" s="68"/>
      <c r="U57" s="369"/>
      <c r="V57" s="33"/>
      <c r="W57" s="34"/>
      <c r="X57" s="68"/>
      <c r="Y57" s="369"/>
      <c r="Z57" s="33"/>
      <c r="AA57" s="34"/>
    </row>
    <row r="58" spans="1:27">
      <c r="A58" s="61"/>
      <c r="B58" s="62" t="s">
        <v>78</v>
      </c>
      <c r="C58" s="63" t="s">
        <v>77</v>
      </c>
      <c r="D58" s="64"/>
      <c r="E58" s="366"/>
      <c r="F58" s="66"/>
      <c r="G58" s="66"/>
      <c r="H58" s="64"/>
      <c r="I58" s="366"/>
      <c r="J58" s="66"/>
      <c r="K58" s="66"/>
      <c r="L58" s="64"/>
      <c r="M58" s="366"/>
      <c r="N58" s="66"/>
      <c r="O58" s="66"/>
      <c r="P58" s="64"/>
      <c r="Q58" s="366"/>
      <c r="R58" s="66"/>
      <c r="S58" s="66"/>
      <c r="T58" s="64"/>
      <c r="U58" s="366"/>
      <c r="V58" s="66"/>
      <c r="W58" s="66"/>
      <c r="X58" s="64"/>
      <c r="Y58" s="366"/>
      <c r="Z58" s="66"/>
      <c r="AA58" s="66"/>
    </row>
    <row r="59" spans="1:27">
      <c r="A59" s="14"/>
      <c r="B59" s="31"/>
      <c r="C59" s="192" t="s">
        <v>115</v>
      </c>
      <c r="D59" s="67" t="s">
        <v>70</v>
      </c>
      <c r="E59" s="29">
        <f>I59+M59+Q59+U59+Y59</f>
        <v>244</v>
      </c>
      <c r="F59" s="40">
        <v>71.03</v>
      </c>
      <c r="G59" s="32">
        <f>E59*F59</f>
        <v>17331.32</v>
      </c>
      <c r="H59" s="67"/>
      <c r="I59" s="67">
        <v>0</v>
      </c>
      <c r="J59" s="40">
        <f t="shared" ref="J59:J62" si="32">$F59</f>
        <v>71.03</v>
      </c>
      <c r="K59" s="32">
        <f t="shared" ref="K59:K62" si="33">I59*J59</f>
        <v>0</v>
      </c>
      <c r="L59" s="67"/>
      <c r="M59" s="67">
        <v>97</v>
      </c>
      <c r="N59" s="40">
        <f t="shared" ref="N59:N62" si="34">$F59</f>
        <v>71.03</v>
      </c>
      <c r="O59" s="32">
        <f t="shared" ref="O59:O62" si="35">M59*N59</f>
        <v>6889.91</v>
      </c>
      <c r="P59" s="67"/>
      <c r="Q59" s="67">
        <v>32</v>
      </c>
      <c r="R59" s="40">
        <f t="shared" ref="R59:R62" si="36">$F59</f>
        <v>71.03</v>
      </c>
      <c r="S59" s="32">
        <f t="shared" ref="S59:S62" si="37">Q59*R59</f>
        <v>2272.96</v>
      </c>
      <c r="T59" s="67"/>
      <c r="U59" s="67">
        <v>92</v>
      </c>
      <c r="V59" s="40">
        <f t="shared" ref="V59:V62" si="38">$F59</f>
        <v>71.03</v>
      </c>
      <c r="W59" s="32">
        <f t="shared" ref="W59:W62" si="39">U59*V59</f>
        <v>6534.76</v>
      </c>
      <c r="X59" s="67"/>
      <c r="Y59" s="67">
        <v>23</v>
      </c>
      <c r="Z59" s="40">
        <f t="shared" ref="Z59:Z62" si="40">$F59</f>
        <v>71.03</v>
      </c>
      <c r="AA59" s="32">
        <f t="shared" ref="AA59:AA62" si="41">Y59*Z59</f>
        <v>1633.69</v>
      </c>
    </row>
    <row r="60" spans="1:27">
      <c r="A60" s="14"/>
      <c r="B60" s="31"/>
      <c r="C60" s="192" t="s">
        <v>826</v>
      </c>
      <c r="D60" s="67" t="s">
        <v>70</v>
      </c>
      <c r="E60" s="29">
        <f>I60+M60+Q60+U60+Y60</f>
        <v>670</v>
      </c>
      <c r="F60" s="40">
        <v>75.52</v>
      </c>
      <c r="G60" s="32">
        <f>E60*F60</f>
        <v>50598.399999999994</v>
      </c>
      <c r="H60" s="67"/>
      <c r="I60" s="67">
        <v>55</v>
      </c>
      <c r="J60" s="40">
        <f t="shared" si="32"/>
        <v>75.52</v>
      </c>
      <c r="K60" s="32">
        <f t="shared" si="33"/>
        <v>4153.5999999999995</v>
      </c>
      <c r="L60" s="67"/>
      <c r="M60" s="67">
        <v>190</v>
      </c>
      <c r="N60" s="40">
        <f t="shared" si="34"/>
        <v>75.52</v>
      </c>
      <c r="O60" s="32">
        <f t="shared" si="35"/>
        <v>14348.8</v>
      </c>
      <c r="P60" s="67"/>
      <c r="Q60" s="67">
        <v>140</v>
      </c>
      <c r="R60" s="40">
        <f t="shared" si="36"/>
        <v>75.52</v>
      </c>
      <c r="S60" s="32">
        <f t="shared" si="37"/>
        <v>10572.8</v>
      </c>
      <c r="T60" s="67"/>
      <c r="U60" s="67">
        <v>255</v>
      </c>
      <c r="V60" s="40">
        <f t="shared" si="38"/>
        <v>75.52</v>
      </c>
      <c r="W60" s="32">
        <f t="shared" si="39"/>
        <v>19257.599999999999</v>
      </c>
      <c r="X60" s="67"/>
      <c r="Y60" s="67">
        <v>30</v>
      </c>
      <c r="Z60" s="40">
        <f t="shared" si="40"/>
        <v>75.52</v>
      </c>
      <c r="AA60" s="32">
        <f t="shared" si="41"/>
        <v>2265.6</v>
      </c>
    </row>
    <row r="61" spans="1:27">
      <c r="A61" s="14"/>
      <c r="B61" s="31"/>
      <c r="C61" s="28" t="s">
        <v>116</v>
      </c>
      <c r="D61" s="67" t="s">
        <v>69</v>
      </c>
      <c r="E61" s="29">
        <f>I61+M61+Q61+U61+Y61</f>
        <v>84</v>
      </c>
      <c r="F61" s="32">
        <v>33.130000000000003</v>
      </c>
      <c r="G61" s="32">
        <f>E61*F61</f>
        <v>2782.92</v>
      </c>
      <c r="H61" s="67"/>
      <c r="I61" s="67">
        <v>9</v>
      </c>
      <c r="J61" s="40">
        <f t="shared" si="32"/>
        <v>33.130000000000003</v>
      </c>
      <c r="K61" s="32">
        <f t="shared" si="33"/>
        <v>298.17</v>
      </c>
      <c r="L61" s="67"/>
      <c r="M61" s="67">
        <v>15</v>
      </c>
      <c r="N61" s="40">
        <f t="shared" si="34"/>
        <v>33.130000000000003</v>
      </c>
      <c r="O61" s="32">
        <f t="shared" si="35"/>
        <v>496.95000000000005</v>
      </c>
      <c r="P61" s="67"/>
      <c r="Q61" s="67">
        <v>30</v>
      </c>
      <c r="R61" s="40">
        <f t="shared" si="36"/>
        <v>33.130000000000003</v>
      </c>
      <c r="S61" s="32">
        <f t="shared" si="37"/>
        <v>993.90000000000009</v>
      </c>
      <c r="T61" s="67"/>
      <c r="U61" s="67">
        <v>25</v>
      </c>
      <c r="V61" s="40">
        <f t="shared" si="38"/>
        <v>33.130000000000003</v>
      </c>
      <c r="W61" s="32">
        <f t="shared" si="39"/>
        <v>828.25000000000011</v>
      </c>
      <c r="X61" s="67"/>
      <c r="Y61" s="67">
        <v>5</v>
      </c>
      <c r="Z61" s="40">
        <f t="shared" si="40"/>
        <v>33.130000000000003</v>
      </c>
      <c r="AA61" s="32">
        <f t="shared" si="41"/>
        <v>165.65</v>
      </c>
    </row>
    <row r="62" spans="1:27">
      <c r="A62" s="14"/>
      <c r="B62" s="31"/>
      <c r="C62" s="28" t="s">
        <v>825</v>
      </c>
      <c r="D62" s="67" t="s">
        <v>11</v>
      </c>
      <c r="E62" s="29">
        <f>I62+M62+Q62+U62+Y62</f>
        <v>35</v>
      </c>
      <c r="F62" s="32">
        <v>75.52</v>
      </c>
      <c r="G62" s="32">
        <f>E62*F62</f>
        <v>2643.2</v>
      </c>
      <c r="H62" s="67"/>
      <c r="I62" s="67">
        <v>7</v>
      </c>
      <c r="J62" s="40">
        <f t="shared" si="32"/>
        <v>75.52</v>
      </c>
      <c r="K62" s="32">
        <f t="shared" si="33"/>
        <v>528.64</v>
      </c>
      <c r="L62" s="67"/>
      <c r="M62" s="67">
        <v>0</v>
      </c>
      <c r="N62" s="40">
        <f t="shared" si="34"/>
        <v>75.52</v>
      </c>
      <c r="O62" s="32">
        <f t="shared" si="35"/>
        <v>0</v>
      </c>
      <c r="P62" s="67"/>
      <c r="Q62" s="67">
        <v>2</v>
      </c>
      <c r="R62" s="40">
        <f t="shared" si="36"/>
        <v>75.52</v>
      </c>
      <c r="S62" s="32">
        <f t="shared" si="37"/>
        <v>151.04</v>
      </c>
      <c r="T62" s="67"/>
      <c r="U62" s="67">
        <v>26</v>
      </c>
      <c r="V62" s="40">
        <f t="shared" si="38"/>
        <v>75.52</v>
      </c>
      <c r="W62" s="32">
        <f t="shared" si="39"/>
        <v>1963.52</v>
      </c>
      <c r="X62" s="67"/>
      <c r="Y62" s="67">
        <v>0</v>
      </c>
      <c r="Z62" s="40">
        <f t="shared" si="40"/>
        <v>75.52</v>
      </c>
      <c r="AA62" s="32">
        <f t="shared" si="41"/>
        <v>0</v>
      </c>
    </row>
    <row r="63" spans="1:27">
      <c r="A63" s="14"/>
      <c r="B63" s="31"/>
      <c r="C63" s="28"/>
      <c r="D63" s="67"/>
      <c r="E63" s="67"/>
      <c r="F63" s="32"/>
      <c r="G63" s="32"/>
      <c r="H63" s="67"/>
      <c r="I63" s="67"/>
      <c r="J63" s="32"/>
      <c r="K63" s="32"/>
      <c r="L63" s="67"/>
      <c r="M63" s="67"/>
      <c r="N63" s="32"/>
      <c r="O63" s="32"/>
      <c r="P63" s="67"/>
      <c r="Q63" s="67"/>
      <c r="R63" s="32"/>
      <c r="S63" s="32"/>
      <c r="T63" s="67"/>
      <c r="U63" s="67"/>
      <c r="V63" s="32"/>
      <c r="W63" s="32"/>
      <c r="X63" s="67"/>
      <c r="Y63" s="67"/>
      <c r="Z63" s="32"/>
      <c r="AA63" s="32"/>
    </row>
    <row r="64" spans="1:27">
      <c r="A64" s="35"/>
      <c r="B64" s="27"/>
      <c r="C64" s="38" t="s">
        <v>88</v>
      </c>
      <c r="D64" s="68"/>
      <c r="E64" s="369"/>
      <c r="F64" s="33" t="s">
        <v>10</v>
      </c>
      <c r="G64" s="34">
        <f>K64+O64+S64+W64+AA64</f>
        <v>73355.839999999997</v>
      </c>
      <c r="H64" s="68"/>
      <c r="I64" s="369"/>
      <c r="J64" s="33" t="s">
        <v>10</v>
      </c>
      <c r="K64" s="34">
        <f>SUM(K58:K63)</f>
        <v>4980.41</v>
      </c>
      <c r="L64" s="68"/>
      <c r="M64" s="369"/>
      <c r="N64" s="33" t="s">
        <v>10</v>
      </c>
      <c r="O64" s="34">
        <f>SUM(O58:O63)</f>
        <v>21735.66</v>
      </c>
      <c r="P64" s="68"/>
      <c r="Q64" s="369"/>
      <c r="R64" s="33" t="s">
        <v>10</v>
      </c>
      <c r="S64" s="34">
        <f>SUM(S58:S63)</f>
        <v>13990.699999999999</v>
      </c>
      <c r="T64" s="68"/>
      <c r="U64" s="369"/>
      <c r="V64" s="33" t="s">
        <v>10</v>
      </c>
      <c r="W64" s="34">
        <f>SUM(W58:W63)</f>
        <v>28584.13</v>
      </c>
      <c r="X64" s="68"/>
      <c r="Y64" s="369"/>
      <c r="Z64" s="33" t="s">
        <v>10</v>
      </c>
      <c r="AA64" s="34">
        <f>SUM(AA58:AA63)</f>
        <v>4064.94</v>
      </c>
    </row>
    <row r="65" spans="1:28">
      <c r="A65" s="35"/>
      <c r="B65" s="27"/>
      <c r="C65" s="36"/>
      <c r="D65" s="68"/>
      <c r="E65" s="369"/>
      <c r="F65" s="33"/>
      <c r="G65" s="34"/>
      <c r="H65" s="68"/>
      <c r="I65" s="369"/>
      <c r="J65" s="33"/>
      <c r="K65" s="34"/>
      <c r="L65" s="68"/>
      <c r="M65" s="369"/>
      <c r="N65" s="33"/>
      <c r="O65" s="34"/>
      <c r="P65" s="68"/>
      <c r="Q65" s="369"/>
      <c r="R65" s="33"/>
      <c r="S65" s="34"/>
      <c r="T65" s="68"/>
      <c r="U65" s="369"/>
      <c r="V65" s="33"/>
      <c r="W65" s="34"/>
      <c r="X65" s="68"/>
      <c r="Y65" s="369"/>
      <c r="Z65" s="33"/>
      <c r="AA65" s="34"/>
    </row>
    <row r="66" spans="1:28">
      <c r="A66" s="35"/>
      <c r="B66" s="27"/>
      <c r="C66" s="36"/>
      <c r="D66" s="68"/>
      <c r="E66" s="369"/>
      <c r="F66" s="33"/>
      <c r="G66" s="34"/>
      <c r="H66" s="68"/>
      <c r="I66" s="369"/>
      <c r="J66" s="33"/>
      <c r="K66" s="34"/>
      <c r="L66" s="68"/>
      <c r="M66" s="369"/>
      <c r="N66" s="33"/>
      <c r="O66" s="34"/>
      <c r="P66" s="68"/>
      <c r="Q66" s="369"/>
      <c r="R66" s="33"/>
      <c r="S66" s="34"/>
      <c r="T66" s="68"/>
      <c r="U66" s="369"/>
      <c r="V66" s="33"/>
      <c r="W66" s="34"/>
      <c r="X66" s="68"/>
      <c r="Y66" s="369"/>
      <c r="Z66" s="33"/>
      <c r="AA66" s="34"/>
    </row>
    <row r="67" spans="1:28">
      <c r="A67" s="61"/>
      <c r="B67" s="62" t="s">
        <v>83</v>
      </c>
      <c r="C67" s="63" t="s">
        <v>550</v>
      </c>
      <c r="D67" s="64"/>
      <c r="E67" s="366"/>
      <c r="F67" s="66"/>
      <c r="G67" s="66"/>
      <c r="H67" s="64"/>
      <c r="I67" s="366"/>
      <c r="J67" s="66"/>
      <c r="K67" s="66"/>
      <c r="L67" s="64"/>
      <c r="M67" s="366"/>
      <c r="N67" s="66"/>
      <c r="O67" s="66"/>
      <c r="P67" s="64"/>
      <c r="Q67" s="366"/>
      <c r="R67" s="66"/>
      <c r="S67" s="66"/>
      <c r="T67" s="64"/>
      <c r="U67" s="366"/>
      <c r="V67" s="66"/>
      <c r="W67" s="66"/>
      <c r="X67" s="64"/>
      <c r="Y67" s="366"/>
      <c r="Z67" s="66"/>
      <c r="AA67" s="66"/>
    </row>
    <row r="68" spans="1:28">
      <c r="A68" s="14"/>
      <c r="B68" s="31"/>
      <c r="C68" s="192" t="s">
        <v>544</v>
      </c>
      <c r="D68" s="67" t="s">
        <v>6</v>
      </c>
      <c r="E68" s="29">
        <f t="shared" ref="E68:E81" si="42">I68+M68+Q68+U68+Y68</f>
        <v>1</v>
      </c>
      <c r="F68" s="40">
        <v>20272.29</v>
      </c>
      <c r="G68" s="32">
        <f t="shared" ref="G68:G81" si="43">E68*F68</f>
        <v>20272.29</v>
      </c>
      <c r="H68" s="67"/>
      <c r="I68" s="67">
        <v>0</v>
      </c>
      <c r="J68" s="40">
        <f t="shared" ref="J68:J81" si="44">$F68</f>
        <v>20272.29</v>
      </c>
      <c r="K68" s="32">
        <f t="shared" ref="K68:K81" si="45">I68*J68</f>
        <v>0</v>
      </c>
      <c r="L68" s="67"/>
      <c r="M68" s="67">
        <v>0</v>
      </c>
      <c r="N68" s="40">
        <f t="shared" ref="N68:N81" si="46">$F68</f>
        <v>20272.29</v>
      </c>
      <c r="O68" s="32">
        <f t="shared" ref="O68:O81" si="47">M68*N68</f>
        <v>0</v>
      </c>
      <c r="P68" s="67"/>
      <c r="Q68" s="67">
        <v>1</v>
      </c>
      <c r="R68" s="40">
        <f t="shared" ref="R68:R81" si="48">$F68</f>
        <v>20272.29</v>
      </c>
      <c r="S68" s="32">
        <f t="shared" ref="S68:S81" si="49">Q68*R68</f>
        <v>20272.29</v>
      </c>
      <c r="T68" s="67"/>
      <c r="U68" s="67">
        <v>0</v>
      </c>
      <c r="V68" s="40">
        <f t="shared" ref="V68:V81" si="50">$F68</f>
        <v>20272.29</v>
      </c>
      <c r="W68" s="32">
        <f t="shared" ref="W68:W81" si="51">U68*V68</f>
        <v>0</v>
      </c>
      <c r="X68" s="67"/>
      <c r="Y68" s="67">
        <v>0</v>
      </c>
      <c r="Z68" s="40">
        <f t="shared" ref="Z68:Z81" si="52">$F68</f>
        <v>20272.29</v>
      </c>
      <c r="AA68" s="32">
        <f t="shared" ref="AA68:AA81" si="53">Y68*Z68</f>
        <v>0</v>
      </c>
    </row>
    <row r="69" spans="1:28">
      <c r="A69" s="14"/>
      <c r="B69" s="31"/>
      <c r="C69" s="192" t="s">
        <v>545</v>
      </c>
      <c r="D69" s="67" t="s">
        <v>6</v>
      </c>
      <c r="E69" s="29">
        <f t="shared" si="42"/>
        <v>1</v>
      </c>
      <c r="F69" s="40">
        <v>9210.35</v>
      </c>
      <c r="G69" s="32">
        <f t="shared" si="43"/>
        <v>9210.35</v>
      </c>
      <c r="H69" s="67"/>
      <c r="I69" s="67">
        <v>0</v>
      </c>
      <c r="J69" s="40">
        <f t="shared" si="44"/>
        <v>9210.35</v>
      </c>
      <c r="K69" s="32">
        <f t="shared" si="45"/>
        <v>0</v>
      </c>
      <c r="L69" s="67"/>
      <c r="M69" s="67">
        <v>0</v>
      </c>
      <c r="N69" s="40">
        <f t="shared" si="46"/>
        <v>9210.35</v>
      </c>
      <c r="O69" s="32">
        <f t="shared" si="47"/>
        <v>0</v>
      </c>
      <c r="P69" s="67"/>
      <c r="Q69" s="67">
        <v>1</v>
      </c>
      <c r="R69" s="40">
        <f t="shared" si="48"/>
        <v>9210.35</v>
      </c>
      <c r="S69" s="32">
        <f t="shared" si="49"/>
        <v>9210.35</v>
      </c>
      <c r="T69" s="67"/>
      <c r="U69" s="67">
        <v>0</v>
      </c>
      <c r="V69" s="40">
        <f t="shared" si="50"/>
        <v>9210.35</v>
      </c>
      <c r="W69" s="32">
        <f t="shared" si="51"/>
        <v>0</v>
      </c>
      <c r="X69" s="67"/>
      <c r="Y69" s="67">
        <v>0</v>
      </c>
      <c r="Z69" s="40">
        <f t="shared" si="52"/>
        <v>9210.35</v>
      </c>
      <c r="AA69" s="32">
        <f t="shared" si="53"/>
        <v>0</v>
      </c>
    </row>
    <row r="70" spans="1:28">
      <c r="A70" s="14"/>
      <c r="B70" s="31"/>
      <c r="C70" s="192" t="s">
        <v>547</v>
      </c>
      <c r="D70" s="67" t="s">
        <v>6</v>
      </c>
      <c r="E70" s="29">
        <f t="shared" si="42"/>
        <v>1</v>
      </c>
      <c r="F70" s="32">
        <v>15241.66</v>
      </c>
      <c r="G70" s="32">
        <f t="shared" si="43"/>
        <v>15241.66</v>
      </c>
      <c r="H70" s="67"/>
      <c r="I70" s="67">
        <v>1</v>
      </c>
      <c r="J70" s="40">
        <f t="shared" si="44"/>
        <v>15241.66</v>
      </c>
      <c r="K70" s="32">
        <f t="shared" si="45"/>
        <v>15241.66</v>
      </c>
      <c r="L70" s="67"/>
      <c r="M70" s="67">
        <v>0</v>
      </c>
      <c r="N70" s="40">
        <f t="shared" si="46"/>
        <v>15241.66</v>
      </c>
      <c r="O70" s="32">
        <f t="shared" si="47"/>
        <v>0</v>
      </c>
      <c r="P70" s="67"/>
      <c r="Q70" s="67">
        <v>0</v>
      </c>
      <c r="R70" s="40">
        <f t="shared" si="48"/>
        <v>15241.66</v>
      </c>
      <c r="S70" s="32">
        <f t="shared" si="49"/>
        <v>0</v>
      </c>
      <c r="T70" s="67"/>
      <c r="U70" s="67">
        <v>0</v>
      </c>
      <c r="V70" s="40">
        <f t="shared" si="50"/>
        <v>15241.66</v>
      </c>
      <c r="W70" s="32">
        <f t="shared" si="51"/>
        <v>0</v>
      </c>
      <c r="X70" s="67"/>
      <c r="Y70" s="67">
        <v>0</v>
      </c>
      <c r="Z70" s="40">
        <f t="shared" si="52"/>
        <v>15241.66</v>
      </c>
      <c r="AA70" s="32">
        <f t="shared" si="53"/>
        <v>0</v>
      </c>
      <c r="AB70" s="22"/>
    </row>
    <row r="71" spans="1:28">
      <c r="A71" s="14"/>
      <c r="B71" s="31"/>
      <c r="C71" s="192" t="s">
        <v>548</v>
      </c>
      <c r="D71" s="67" t="s">
        <v>6</v>
      </c>
      <c r="E71" s="29">
        <f t="shared" si="42"/>
        <v>1</v>
      </c>
      <c r="F71" s="32">
        <v>16882.240000000002</v>
      </c>
      <c r="G71" s="32">
        <f t="shared" si="43"/>
        <v>16882.240000000002</v>
      </c>
      <c r="H71" s="67"/>
      <c r="I71" s="67">
        <v>1</v>
      </c>
      <c r="J71" s="40">
        <f t="shared" si="44"/>
        <v>16882.240000000002</v>
      </c>
      <c r="K71" s="32">
        <f t="shared" si="45"/>
        <v>16882.240000000002</v>
      </c>
      <c r="L71" s="67"/>
      <c r="M71" s="67">
        <v>0</v>
      </c>
      <c r="N71" s="40">
        <f t="shared" si="46"/>
        <v>16882.240000000002</v>
      </c>
      <c r="O71" s="32">
        <f t="shared" si="47"/>
        <v>0</v>
      </c>
      <c r="P71" s="67"/>
      <c r="Q71" s="67">
        <v>0</v>
      </c>
      <c r="R71" s="40">
        <f t="shared" si="48"/>
        <v>16882.240000000002</v>
      </c>
      <c r="S71" s="32">
        <f t="shared" si="49"/>
        <v>0</v>
      </c>
      <c r="T71" s="67"/>
      <c r="U71" s="67">
        <v>0</v>
      </c>
      <c r="V71" s="40">
        <f t="shared" si="50"/>
        <v>16882.240000000002</v>
      </c>
      <c r="W71" s="32">
        <f t="shared" si="51"/>
        <v>0</v>
      </c>
      <c r="X71" s="67"/>
      <c r="Y71" s="67">
        <v>0</v>
      </c>
      <c r="Z71" s="40">
        <f t="shared" si="52"/>
        <v>16882.240000000002</v>
      </c>
      <c r="AA71" s="32">
        <f t="shared" si="53"/>
        <v>0</v>
      </c>
      <c r="AB71" s="22"/>
    </row>
    <row r="72" spans="1:28">
      <c r="A72" s="14"/>
      <c r="B72" s="31"/>
      <c r="C72" s="192" t="s">
        <v>797</v>
      </c>
      <c r="D72" s="67" t="s">
        <v>6</v>
      </c>
      <c r="E72" s="29">
        <f t="shared" si="42"/>
        <v>1</v>
      </c>
      <c r="F72" s="32">
        <v>857.46</v>
      </c>
      <c r="G72" s="32">
        <f t="shared" si="43"/>
        <v>857.46</v>
      </c>
      <c r="H72" s="67"/>
      <c r="I72" s="67">
        <v>1</v>
      </c>
      <c r="J72" s="40">
        <f t="shared" si="44"/>
        <v>857.46</v>
      </c>
      <c r="K72" s="32">
        <f t="shared" si="45"/>
        <v>857.46</v>
      </c>
      <c r="L72" s="67"/>
      <c r="M72" s="67">
        <v>0</v>
      </c>
      <c r="N72" s="40">
        <f t="shared" si="46"/>
        <v>857.46</v>
      </c>
      <c r="O72" s="32">
        <f t="shared" si="47"/>
        <v>0</v>
      </c>
      <c r="P72" s="67"/>
      <c r="Q72" s="67">
        <v>0</v>
      </c>
      <c r="R72" s="40">
        <f t="shared" si="48"/>
        <v>857.46</v>
      </c>
      <c r="S72" s="32">
        <f t="shared" si="49"/>
        <v>0</v>
      </c>
      <c r="T72" s="67"/>
      <c r="U72" s="67">
        <v>0</v>
      </c>
      <c r="V72" s="40">
        <f t="shared" si="50"/>
        <v>857.46</v>
      </c>
      <c r="W72" s="32">
        <f t="shared" si="51"/>
        <v>0</v>
      </c>
      <c r="X72" s="67"/>
      <c r="Y72" s="67">
        <v>0</v>
      </c>
      <c r="Z72" s="40">
        <f t="shared" si="52"/>
        <v>857.46</v>
      </c>
      <c r="AA72" s="32">
        <f t="shared" si="53"/>
        <v>0</v>
      </c>
      <c r="AB72" s="22"/>
    </row>
    <row r="73" spans="1:28">
      <c r="A73" s="14"/>
      <c r="B73" s="31"/>
      <c r="C73" s="192" t="s">
        <v>546</v>
      </c>
      <c r="D73" s="67" t="s">
        <v>6</v>
      </c>
      <c r="E73" s="29">
        <f t="shared" si="42"/>
        <v>2</v>
      </c>
      <c r="F73" s="32">
        <v>419.71</v>
      </c>
      <c r="G73" s="32">
        <f t="shared" si="43"/>
        <v>839.42</v>
      </c>
      <c r="H73" s="67"/>
      <c r="I73" s="67">
        <v>0</v>
      </c>
      <c r="J73" s="40">
        <f t="shared" si="44"/>
        <v>419.71</v>
      </c>
      <c r="K73" s="32">
        <f t="shared" si="45"/>
        <v>0</v>
      </c>
      <c r="L73" s="67"/>
      <c r="M73" s="67">
        <v>0</v>
      </c>
      <c r="N73" s="40">
        <f t="shared" si="46"/>
        <v>419.71</v>
      </c>
      <c r="O73" s="32">
        <f t="shared" si="47"/>
        <v>0</v>
      </c>
      <c r="P73" s="67"/>
      <c r="Q73" s="67">
        <v>2</v>
      </c>
      <c r="R73" s="40">
        <f t="shared" si="48"/>
        <v>419.71</v>
      </c>
      <c r="S73" s="32">
        <f t="shared" si="49"/>
        <v>839.42</v>
      </c>
      <c r="T73" s="67"/>
      <c r="U73" s="67">
        <v>0</v>
      </c>
      <c r="V73" s="40">
        <f t="shared" si="50"/>
        <v>419.71</v>
      </c>
      <c r="W73" s="32">
        <f t="shared" si="51"/>
        <v>0</v>
      </c>
      <c r="X73" s="67"/>
      <c r="Y73" s="67">
        <v>0</v>
      </c>
      <c r="Z73" s="40">
        <f t="shared" si="52"/>
        <v>419.71</v>
      </c>
      <c r="AA73" s="32">
        <f t="shared" si="53"/>
        <v>0</v>
      </c>
    </row>
    <row r="74" spans="1:28">
      <c r="A74" s="14"/>
      <c r="B74" s="31"/>
      <c r="C74" s="192" t="s">
        <v>1053</v>
      </c>
      <c r="D74" s="67" t="s">
        <v>69</v>
      </c>
      <c r="E74" s="29">
        <f t="shared" si="42"/>
        <v>5</v>
      </c>
      <c r="F74" s="32">
        <v>649.42999999999995</v>
      </c>
      <c r="G74" s="32">
        <f t="shared" si="43"/>
        <v>3247.1499999999996</v>
      </c>
      <c r="H74" s="67"/>
      <c r="I74" s="67">
        <v>0</v>
      </c>
      <c r="J74" s="40">
        <f t="shared" si="44"/>
        <v>649.42999999999995</v>
      </c>
      <c r="K74" s="32">
        <f t="shared" si="45"/>
        <v>0</v>
      </c>
      <c r="L74" s="67"/>
      <c r="M74" s="67">
        <v>0</v>
      </c>
      <c r="N74" s="40">
        <f t="shared" si="46"/>
        <v>649.42999999999995</v>
      </c>
      <c r="O74" s="32">
        <f t="shared" si="47"/>
        <v>0</v>
      </c>
      <c r="P74" s="67"/>
      <c r="Q74" s="67">
        <v>5</v>
      </c>
      <c r="R74" s="40">
        <f t="shared" si="48"/>
        <v>649.42999999999995</v>
      </c>
      <c r="S74" s="32">
        <f t="shared" si="49"/>
        <v>3247.1499999999996</v>
      </c>
      <c r="T74" s="67"/>
      <c r="U74" s="67">
        <v>0</v>
      </c>
      <c r="V74" s="40">
        <f t="shared" si="50"/>
        <v>649.42999999999995</v>
      </c>
      <c r="W74" s="32">
        <f t="shared" si="51"/>
        <v>0</v>
      </c>
      <c r="X74" s="67"/>
      <c r="Y74" s="67">
        <v>0</v>
      </c>
      <c r="Z74" s="40">
        <f t="shared" si="52"/>
        <v>649.42999999999995</v>
      </c>
      <c r="AA74" s="32">
        <f t="shared" si="53"/>
        <v>0</v>
      </c>
      <c r="AB74" s="22"/>
    </row>
    <row r="75" spans="1:28">
      <c r="A75" s="14"/>
      <c r="B75" s="31"/>
      <c r="C75" s="192" t="s">
        <v>549</v>
      </c>
      <c r="D75" s="67" t="s">
        <v>69</v>
      </c>
      <c r="E75" s="29">
        <f t="shared" si="42"/>
        <v>7</v>
      </c>
      <c r="F75" s="32">
        <v>608.95000000000005</v>
      </c>
      <c r="G75" s="32">
        <f t="shared" si="43"/>
        <v>4262.6500000000005</v>
      </c>
      <c r="H75" s="67"/>
      <c r="I75" s="67">
        <v>0</v>
      </c>
      <c r="J75" s="40">
        <f t="shared" si="44"/>
        <v>608.95000000000005</v>
      </c>
      <c r="K75" s="32">
        <f t="shared" si="45"/>
        <v>0</v>
      </c>
      <c r="L75" s="67"/>
      <c r="M75" s="67">
        <v>4</v>
      </c>
      <c r="N75" s="40">
        <f t="shared" si="46"/>
        <v>608.95000000000005</v>
      </c>
      <c r="O75" s="32">
        <f t="shared" si="47"/>
        <v>2435.8000000000002</v>
      </c>
      <c r="P75" s="67"/>
      <c r="Q75" s="67">
        <v>0</v>
      </c>
      <c r="R75" s="40">
        <f t="shared" si="48"/>
        <v>608.95000000000005</v>
      </c>
      <c r="S75" s="32">
        <f t="shared" si="49"/>
        <v>0</v>
      </c>
      <c r="T75" s="67"/>
      <c r="U75" s="67">
        <v>0</v>
      </c>
      <c r="V75" s="40">
        <f t="shared" si="50"/>
        <v>608.95000000000005</v>
      </c>
      <c r="W75" s="32">
        <f t="shared" si="51"/>
        <v>0</v>
      </c>
      <c r="X75" s="67"/>
      <c r="Y75" s="67">
        <v>3</v>
      </c>
      <c r="Z75" s="40">
        <f t="shared" si="52"/>
        <v>608.95000000000005</v>
      </c>
      <c r="AA75" s="32">
        <f t="shared" si="53"/>
        <v>1826.8500000000001</v>
      </c>
      <c r="AB75" s="22"/>
    </row>
    <row r="76" spans="1:28">
      <c r="A76" s="14"/>
      <c r="B76" s="31"/>
      <c r="C76" s="192" t="s">
        <v>827</v>
      </c>
      <c r="D76" s="67" t="s">
        <v>69</v>
      </c>
      <c r="E76" s="29">
        <f t="shared" si="42"/>
        <v>11</v>
      </c>
      <c r="F76" s="40">
        <v>654.59</v>
      </c>
      <c r="G76" s="32">
        <f t="shared" si="43"/>
        <v>7200.4900000000007</v>
      </c>
      <c r="H76" s="67"/>
      <c r="I76" s="67">
        <v>0</v>
      </c>
      <c r="J76" s="40">
        <f t="shared" si="44"/>
        <v>654.59</v>
      </c>
      <c r="K76" s="32">
        <f t="shared" si="45"/>
        <v>0</v>
      </c>
      <c r="L76" s="67"/>
      <c r="M76" s="67">
        <v>0</v>
      </c>
      <c r="N76" s="40">
        <f t="shared" si="46"/>
        <v>654.59</v>
      </c>
      <c r="O76" s="32">
        <f t="shared" si="47"/>
        <v>0</v>
      </c>
      <c r="P76" s="67"/>
      <c r="Q76" s="67">
        <v>0</v>
      </c>
      <c r="R76" s="40">
        <f t="shared" si="48"/>
        <v>654.59</v>
      </c>
      <c r="S76" s="32">
        <f t="shared" si="49"/>
        <v>0</v>
      </c>
      <c r="T76" s="67"/>
      <c r="U76" s="67">
        <v>8</v>
      </c>
      <c r="V76" s="40">
        <f t="shared" si="50"/>
        <v>654.59</v>
      </c>
      <c r="W76" s="32">
        <f t="shared" si="51"/>
        <v>5236.72</v>
      </c>
      <c r="X76" s="67"/>
      <c r="Y76" s="67">
        <v>3</v>
      </c>
      <c r="Z76" s="40">
        <f t="shared" si="52"/>
        <v>654.59</v>
      </c>
      <c r="AA76" s="32">
        <f t="shared" si="53"/>
        <v>1963.77</v>
      </c>
    </row>
    <row r="77" spans="1:28">
      <c r="A77" s="14"/>
      <c r="B77" s="31"/>
      <c r="C77" s="192" t="s">
        <v>559</v>
      </c>
      <c r="D77" s="67" t="s">
        <v>69</v>
      </c>
      <c r="E77" s="29">
        <f t="shared" si="42"/>
        <v>5</v>
      </c>
      <c r="F77" s="32">
        <v>219.97</v>
      </c>
      <c r="G77" s="32">
        <f t="shared" si="43"/>
        <v>1099.8499999999999</v>
      </c>
      <c r="H77" s="67"/>
      <c r="I77" s="67">
        <v>1</v>
      </c>
      <c r="J77" s="40">
        <f t="shared" si="44"/>
        <v>219.97</v>
      </c>
      <c r="K77" s="32">
        <f t="shared" si="45"/>
        <v>219.97</v>
      </c>
      <c r="L77" s="67"/>
      <c r="M77" s="67">
        <v>1</v>
      </c>
      <c r="N77" s="40">
        <f t="shared" si="46"/>
        <v>219.97</v>
      </c>
      <c r="O77" s="32">
        <f t="shared" si="47"/>
        <v>219.97</v>
      </c>
      <c r="P77" s="67"/>
      <c r="Q77" s="67">
        <v>2</v>
      </c>
      <c r="R77" s="40">
        <f t="shared" si="48"/>
        <v>219.97</v>
      </c>
      <c r="S77" s="32">
        <f t="shared" si="49"/>
        <v>439.94</v>
      </c>
      <c r="T77" s="67"/>
      <c r="U77" s="67">
        <v>1</v>
      </c>
      <c r="V77" s="40">
        <f t="shared" si="50"/>
        <v>219.97</v>
      </c>
      <c r="W77" s="32">
        <f t="shared" si="51"/>
        <v>219.97</v>
      </c>
      <c r="X77" s="67"/>
      <c r="Y77" s="67">
        <v>0</v>
      </c>
      <c r="Z77" s="40">
        <f t="shared" si="52"/>
        <v>219.97</v>
      </c>
      <c r="AA77" s="32">
        <f t="shared" si="53"/>
        <v>0</v>
      </c>
    </row>
    <row r="78" spans="1:28">
      <c r="A78" s="14"/>
      <c r="B78" s="31"/>
      <c r="C78" s="192" t="s">
        <v>560</v>
      </c>
      <c r="D78" s="67" t="s">
        <v>69</v>
      </c>
      <c r="E78" s="29">
        <f t="shared" si="42"/>
        <v>3</v>
      </c>
      <c r="F78" s="32">
        <v>83.54</v>
      </c>
      <c r="G78" s="32">
        <f t="shared" si="43"/>
        <v>250.62</v>
      </c>
      <c r="H78" s="67"/>
      <c r="I78" s="67">
        <v>0</v>
      </c>
      <c r="J78" s="40">
        <f t="shared" si="44"/>
        <v>83.54</v>
      </c>
      <c r="K78" s="32">
        <f t="shared" si="45"/>
        <v>0</v>
      </c>
      <c r="L78" s="67"/>
      <c r="M78" s="67">
        <v>0</v>
      </c>
      <c r="N78" s="40">
        <f t="shared" si="46"/>
        <v>83.54</v>
      </c>
      <c r="O78" s="32">
        <f t="shared" si="47"/>
        <v>0</v>
      </c>
      <c r="P78" s="67"/>
      <c r="Q78" s="67">
        <v>0</v>
      </c>
      <c r="R78" s="40">
        <f t="shared" si="48"/>
        <v>83.54</v>
      </c>
      <c r="S78" s="32">
        <f t="shared" si="49"/>
        <v>0</v>
      </c>
      <c r="T78" s="67"/>
      <c r="U78" s="67">
        <v>1</v>
      </c>
      <c r="V78" s="40">
        <f t="shared" si="50"/>
        <v>83.54</v>
      </c>
      <c r="W78" s="32">
        <f t="shared" si="51"/>
        <v>83.54</v>
      </c>
      <c r="X78" s="67"/>
      <c r="Y78" s="67">
        <v>2</v>
      </c>
      <c r="Z78" s="40">
        <f t="shared" si="52"/>
        <v>83.54</v>
      </c>
      <c r="AA78" s="32">
        <f t="shared" si="53"/>
        <v>167.08</v>
      </c>
    </row>
    <row r="79" spans="1:28">
      <c r="A79" s="14"/>
      <c r="B79" s="31"/>
      <c r="C79" s="192" t="s">
        <v>555</v>
      </c>
      <c r="D79" s="67" t="s">
        <v>69</v>
      </c>
      <c r="E79" s="29">
        <f t="shared" si="42"/>
        <v>1</v>
      </c>
      <c r="F79" s="32">
        <v>158.77000000000001</v>
      </c>
      <c r="G79" s="32">
        <f t="shared" si="43"/>
        <v>158.77000000000001</v>
      </c>
      <c r="H79" s="67"/>
      <c r="I79" s="67">
        <v>0</v>
      </c>
      <c r="J79" s="40">
        <f t="shared" si="44"/>
        <v>158.77000000000001</v>
      </c>
      <c r="K79" s="32">
        <f t="shared" si="45"/>
        <v>0</v>
      </c>
      <c r="L79" s="67"/>
      <c r="M79" s="67">
        <v>0</v>
      </c>
      <c r="N79" s="40">
        <f t="shared" si="46"/>
        <v>158.77000000000001</v>
      </c>
      <c r="O79" s="32">
        <f t="shared" si="47"/>
        <v>0</v>
      </c>
      <c r="P79" s="67"/>
      <c r="Q79" s="67">
        <v>1</v>
      </c>
      <c r="R79" s="40">
        <f t="shared" si="48"/>
        <v>158.77000000000001</v>
      </c>
      <c r="S79" s="32">
        <f t="shared" si="49"/>
        <v>158.77000000000001</v>
      </c>
      <c r="T79" s="67"/>
      <c r="U79" s="67">
        <v>0</v>
      </c>
      <c r="V79" s="40">
        <f t="shared" si="50"/>
        <v>158.77000000000001</v>
      </c>
      <c r="W79" s="32">
        <f t="shared" si="51"/>
        <v>0</v>
      </c>
      <c r="X79" s="67"/>
      <c r="Y79" s="67">
        <v>0</v>
      </c>
      <c r="Z79" s="40">
        <f t="shared" si="52"/>
        <v>158.77000000000001</v>
      </c>
      <c r="AA79" s="32">
        <f t="shared" si="53"/>
        <v>0</v>
      </c>
      <c r="AB79" s="22"/>
    </row>
    <row r="80" spans="1:28">
      <c r="A80" s="14"/>
      <c r="B80" s="31"/>
      <c r="C80" s="192" t="s">
        <v>566</v>
      </c>
      <c r="D80" s="67" t="s">
        <v>69</v>
      </c>
      <c r="E80" s="29">
        <f t="shared" si="42"/>
        <v>23</v>
      </c>
      <c r="F80" s="32">
        <v>120.91</v>
      </c>
      <c r="G80" s="32">
        <f t="shared" si="43"/>
        <v>2780.93</v>
      </c>
      <c r="H80" s="67"/>
      <c r="I80" s="67">
        <v>3</v>
      </c>
      <c r="J80" s="40">
        <f t="shared" si="44"/>
        <v>120.91</v>
      </c>
      <c r="K80" s="32">
        <f t="shared" si="45"/>
        <v>362.73</v>
      </c>
      <c r="L80" s="67"/>
      <c r="M80" s="67">
        <v>4</v>
      </c>
      <c r="N80" s="40">
        <f t="shared" si="46"/>
        <v>120.91</v>
      </c>
      <c r="O80" s="32">
        <f t="shared" si="47"/>
        <v>483.64</v>
      </c>
      <c r="P80" s="67"/>
      <c r="Q80" s="67">
        <v>4</v>
      </c>
      <c r="R80" s="40">
        <f t="shared" si="48"/>
        <v>120.91</v>
      </c>
      <c r="S80" s="32">
        <f t="shared" si="49"/>
        <v>483.64</v>
      </c>
      <c r="T80" s="67"/>
      <c r="U80" s="67">
        <v>9</v>
      </c>
      <c r="V80" s="40">
        <f t="shared" si="50"/>
        <v>120.91</v>
      </c>
      <c r="W80" s="32">
        <f t="shared" si="51"/>
        <v>1088.19</v>
      </c>
      <c r="X80" s="67"/>
      <c r="Y80" s="67">
        <v>3</v>
      </c>
      <c r="Z80" s="40">
        <f t="shared" si="52"/>
        <v>120.91</v>
      </c>
      <c r="AA80" s="32">
        <f t="shared" si="53"/>
        <v>362.73</v>
      </c>
      <c r="AB80" s="22"/>
    </row>
    <row r="81" spans="1:28">
      <c r="A81" s="14"/>
      <c r="B81" s="31"/>
      <c r="C81" s="192" t="s">
        <v>567</v>
      </c>
      <c r="D81" s="67" t="s">
        <v>69</v>
      </c>
      <c r="E81" s="29">
        <f t="shared" si="42"/>
        <v>12</v>
      </c>
      <c r="F81" s="32">
        <v>12.6</v>
      </c>
      <c r="G81" s="32">
        <f t="shared" si="43"/>
        <v>151.19999999999999</v>
      </c>
      <c r="H81" s="67"/>
      <c r="I81" s="67">
        <v>0</v>
      </c>
      <c r="J81" s="40">
        <f t="shared" si="44"/>
        <v>12.6</v>
      </c>
      <c r="K81" s="32">
        <f t="shared" si="45"/>
        <v>0</v>
      </c>
      <c r="L81" s="67"/>
      <c r="M81" s="67">
        <v>0</v>
      </c>
      <c r="N81" s="40">
        <f t="shared" si="46"/>
        <v>12.6</v>
      </c>
      <c r="O81" s="32">
        <f t="shared" si="47"/>
        <v>0</v>
      </c>
      <c r="P81" s="67"/>
      <c r="Q81" s="67">
        <v>1</v>
      </c>
      <c r="R81" s="40">
        <f t="shared" si="48"/>
        <v>12.6</v>
      </c>
      <c r="S81" s="32">
        <f t="shared" si="49"/>
        <v>12.6</v>
      </c>
      <c r="T81" s="67"/>
      <c r="U81" s="67">
        <v>8</v>
      </c>
      <c r="V81" s="40">
        <f t="shared" si="50"/>
        <v>12.6</v>
      </c>
      <c r="W81" s="32">
        <f t="shared" si="51"/>
        <v>100.8</v>
      </c>
      <c r="X81" s="67"/>
      <c r="Y81" s="67">
        <v>3</v>
      </c>
      <c r="Z81" s="40">
        <f t="shared" si="52"/>
        <v>12.6</v>
      </c>
      <c r="AA81" s="32">
        <f t="shared" si="53"/>
        <v>37.799999999999997</v>
      </c>
      <c r="AB81" s="22"/>
    </row>
    <row r="82" spans="1:28">
      <c r="A82" s="14"/>
      <c r="B82" s="31"/>
      <c r="C82" s="28"/>
      <c r="D82" s="67"/>
      <c r="E82" s="67"/>
      <c r="F82" s="32"/>
      <c r="G82" s="32"/>
      <c r="H82" s="67"/>
      <c r="I82" s="67"/>
      <c r="J82" s="32"/>
      <c r="K82" s="32"/>
      <c r="L82" s="67"/>
      <c r="M82" s="67"/>
      <c r="N82" s="32"/>
      <c r="O82" s="32"/>
      <c r="P82" s="67"/>
      <c r="Q82" s="67"/>
      <c r="R82" s="32"/>
      <c r="S82" s="32"/>
      <c r="T82" s="67"/>
      <c r="U82" s="67"/>
      <c r="V82" s="32"/>
      <c r="W82" s="32"/>
      <c r="X82" s="67"/>
      <c r="Y82" s="67"/>
      <c r="Z82" s="32"/>
      <c r="AA82" s="32"/>
    </row>
    <row r="83" spans="1:28">
      <c r="A83" s="35"/>
      <c r="B83" s="27"/>
      <c r="C83" s="38" t="s">
        <v>551</v>
      </c>
      <c r="D83" s="68"/>
      <c r="E83" s="369"/>
      <c r="F83" s="33" t="s">
        <v>10</v>
      </c>
      <c r="G83" s="34">
        <f>K83+O83+S83+W83+AA83</f>
        <v>82455.08</v>
      </c>
      <c r="H83" s="68"/>
      <c r="I83" s="369"/>
      <c r="J83" s="33" t="s">
        <v>10</v>
      </c>
      <c r="K83" s="34">
        <f>SUM(K67:K82)</f>
        <v>33564.060000000005</v>
      </c>
      <c r="L83" s="68"/>
      <c r="M83" s="369"/>
      <c r="N83" s="33" t="s">
        <v>10</v>
      </c>
      <c r="O83" s="34">
        <f>SUM(O67:O82)</f>
        <v>3139.41</v>
      </c>
      <c r="P83" s="68"/>
      <c r="Q83" s="369"/>
      <c r="R83" s="33" t="s">
        <v>10</v>
      </c>
      <c r="S83" s="34">
        <f>SUM(S67:S82)</f>
        <v>34664.159999999996</v>
      </c>
      <c r="T83" s="68"/>
      <c r="U83" s="369"/>
      <c r="V83" s="33" t="s">
        <v>10</v>
      </c>
      <c r="W83" s="34">
        <f>SUM(W67:W82)</f>
        <v>6729.22</v>
      </c>
      <c r="X83" s="68"/>
      <c r="Y83" s="369"/>
      <c r="Z83" s="33" t="s">
        <v>10</v>
      </c>
      <c r="AA83" s="34">
        <f>SUM(AA67:AA82)</f>
        <v>4358.2300000000005</v>
      </c>
    </row>
    <row r="84" spans="1:28">
      <c r="A84" s="35"/>
      <c r="B84" s="27"/>
      <c r="C84" s="36"/>
      <c r="D84" s="68"/>
      <c r="E84" s="369"/>
      <c r="F84" s="33"/>
      <c r="G84" s="34"/>
      <c r="H84" s="68"/>
      <c r="I84" s="369"/>
      <c r="J84" s="33"/>
      <c r="K84" s="34"/>
      <c r="L84" s="68"/>
      <c r="M84" s="369"/>
      <c r="N84" s="33"/>
      <c r="O84" s="34"/>
      <c r="P84" s="68"/>
      <c r="Q84" s="369"/>
      <c r="R84" s="33"/>
      <c r="S84" s="34"/>
      <c r="T84" s="68"/>
      <c r="U84" s="369"/>
      <c r="V84" s="33"/>
      <c r="W84" s="34"/>
      <c r="X84" s="68"/>
      <c r="Y84" s="369"/>
      <c r="Z84" s="33"/>
      <c r="AA84" s="34"/>
    </row>
    <row r="85" spans="1:28">
      <c r="A85" s="35"/>
      <c r="B85" s="27"/>
      <c r="C85" s="36"/>
      <c r="D85" s="68"/>
      <c r="E85" s="369"/>
      <c r="F85" s="33"/>
      <c r="G85" s="34"/>
      <c r="H85" s="68"/>
      <c r="I85" s="369"/>
      <c r="J85" s="33"/>
      <c r="K85" s="34"/>
      <c r="L85" s="68"/>
      <c r="M85" s="369"/>
      <c r="N85" s="33"/>
      <c r="O85" s="34"/>
      <c r="P85" s="68"/>
      <c r="Q85" s="369"/>
      <c r="R85" s="33"/>
      <c r="S85" s="34"/>
      <c r="T85" s="68"/>
      <c r="U85" s="369"/>
      <c r="V85" s="33"/>
      <c r="W85" s="34"/>
      <c r="X85" s="68"/>
      <c r="Y85" s="369"/>
      <c r="Z85" s="33"/>
      <c r="AA85" s="34"/>
    </row>
    <row r="86" spans="1:28">
      <c r="A86" s="61"/>
      <c r="B86" s="62" t="s">
        <v>83</v>
      </c>
      <c r="C86" s="63" t="s">
        <v>553</v>
      </c>
      <c r="D86" s="64"/>
      <c r="E86" s="366"/>
      <c r="F86" s="66"/>
      <c r="G86" s="66"/>
      <c r="H86" s="64"/>
      <c r="I86" s="366"/>
      <c r="J86" s="66"/>
      <c r="K86" s="66"/>
      <c r="L86" s="64"/>
      <c r="M86" s="366"/>
      <c r="N86" s="66"/>
      <c r="O86" s="66"/>
      <c r="P86" s="64"/>
      <c r="Q86" s="366"/>
      <c r="R86" s="66"/>
      <c r="S86" s="66"/>
      <c r="T86" s="64"/>
      <c r="U86" s="366"/>
      <c r="V86" s="66"/>
      <c r="W86" s="66"/>
      <c r="X86" s="64"/>
      <c r="Y86" s="366"/>
      <c r="Z86" s="66"/>
      <c r="AA86" s="66"/>
    </row>
    <row r="87" spans="1:28">
      <c r="A87" s="14"/>
      <c r="B87" s="31"/>
      <c r="C87" s="192" t="s">
        <v>557</v>
      </c>
      <c r="D87" s="67" t="s">
        <v>69</v>
      </c>
      <c r="E87" s="29">
        <f t="shared" ref="E87:E92" si="54">I87+M87+Q87+U87+Y87</f>
        <v>1</v>
      </c>
      <c r="F87" s="40">
        <v>567.08000000000004</v>
      </c>
      <c r="G87" s="32">
        <f t="shared" ref="G87:G92" si="55">E87*F87</f>
        <v>567.08000000000004</v>
      </c>
      <c r="H87" s="67"/>
      <c r="I87" s="67">
        <v>0</v>
      </c>
      <c r="J87" s="40">
        <f t="shared" ref="J87:J92" si="56">$F87</f>
        <v>567.08000000000004</v>
      </c>
      <c r="K87" s="32">
        <f t="shared" ref="K87:K92" si="57">I87*J87</f>
        <v>0</v>
      </c>
      <c r="L87" s="67"/>
      <c r="M87" s="67">
        <v>1</v>
      </c>
      <c r="N87" s="40">
        <v>567.08000000000004</v>
      </c>
      <c r="O87" s="32">
        <f t="shared" ref="O87:O92" si="58">M87*N87</f>
        <v>567.08000000000004</v>
      </c>
      <c r="P87" s="67"/>
      <c r="Q87" s="67">
        <v>0</v>
      </c>
      <c r="R87" s="40">
        <f t="shared" ref="R87:R92" si="59">$F87</f>
        <v>567.08000000000004</v>
      </c>
      <c r="S87" s="32">
        <f t="shared" ref="S87:S92" si="60">Q87*R87</f>
        <v>0</v>
      </c>
      <c r="T87" s="67"/>
      <c r="U87" s="67">
        <v>0</v>
      </c>
      <c r="V87" s="40">
        <f t="shared" ref="V87:V92" si="61">$F87</f>
        <v>567.08000000000004</v>
      </c>
      <c r="W87" s="32">
        <f t="shared" ref="W87:W92" si="62">U87*V87</f>
        <v>0</v>
      </c>
      <c r="X87" s="67"/>
      <c r="Y87" s="67">
        <v>0</v>
      </c>
      <c r="Z87" s="40">
        <f t="shared" ref="Z87:Z92" si="63">$F87</f>
        <v>567.08000000000004</v>
      </c>
      <c r="AA87" s="32">
        <f t="shared" ref="AA87:AA92" si="64">Y87*Z87</f>
        <v>0</v>
      </c>
    </row>
    <row r="88" spans="1:28">
      <c r="A88" s="14"/>
      <c r="B88" s="31"/>
      <c r="C88" s="192" t="s">
        <v>558</v>
      </c>
      <c r="D88" s="67" t="s">
        <v>69</v>
      </c>
      <c r="E88" s="29">
        <f t="shared" si="54"/>
        <v>1</v>
      </c>
      <c r="F88" s="40">
        <v>505.72</v>
      </c>
      <c r="G88" s="32">
        <f t="shared" si="55"/>
        <v>505.72</v>
      </c>
      <c r="H88" s="67"/>
      <c r="I88" s="67">
        <v>0</v>
      </c>
      <c r="J88" s="40">
        <f t="shared" si="56"/>
        <v>505.72</v>
      </c>
      <c r="K88" s="32">
        <f t="shared" si="57"/>
        <v>0</v>
      </c>
      <c r="L88" s="67"/>
      <c r="M88" s="67">
        <v>1</v>
      </c>
      <c r="N88" s="40">
        <v>505.72</v>
      </c>
      <c r="O88" s="32">
        <f t="shared" si="58"/>
        <v>505.72</v>
      </c>
      <c r="P88" s="67"/>
      <c r="Q88" s="67">
        <v>0</v>
      </c>
      <c r="R88" s="40">
        <f t="shared" si="59"/>
        <v>505.72</v>
      </c>
      <c r="S88" s="32">
        <f t="shared" si="60"/>
        <v>0</v>
      </c>
      <c r="T88" s="67"/>
      <c r="U88" s="67">
        <v>0</v>
      </c>
      <c r="V88" s="40">
        <f t="shared" si="61"/>
        <v>505.72</v>
      </c>
      <c r="W88" s="32">
        <f t="shared" si="62"/>
        <v>0</v>
      </c>
      <c r="X88" s="67"/>
      <c r="Y88" s="67">
        <v>0</v>
      </c>
      <c r="Z88" s="40">
        <f t="shared" si="63"/>
        <v>505.72</v>
      </c>
      <c r="AA88" s="32">
        <f t="shared" si="64"/>
        <v>0</v>
      </c>
    </row>
    <row r="89" spans="1:28">
      <c r="A89" s="14"/>
      <c r="B89" s="31"/>
      <c r="C89" s="192" t="s">
        <v>554</v>
      </c>
      <c r="D89" s="67" t="s">
        <v>69</v>
      </c>
      <c r="E89" s="29">
        <f t="shared" si="54"/>
        <v>1</v>
      </c>
      <c r="F89" s="40">
        <v>244.78</v>
      </c>
      <c r="G89" s="32">
        <f t="shared" si="55"/>
        <v>244.78</v>
      </c>
      <c r="H89" s="67"/>
      <c r="I89" s="67">
        <v>0</v>
      </c>
      <c r="J89" s="40">
        <f t="shared" si="56"/>
        <v>244.78</v>
      </c>
      <c r="K89" s="32">
        <f t="shared" si="57"/>
        <v>0</v>
      </c>
      <c r="L89" s="67"/>
      <c r="M89" s="67">
        <v>1</v>
      </c>
      <c r="N89" s="40">
        <v>244.78</v>
      </c>
      <c r="O89" s="32">
        <f t="shared" si="58"/>
        <v>244.78</v>
      </c>
      <c r="P89" s="67"/>
      <c r="Q89" s="67">
        <v>0</v>
      </c>
      <c r="R89" s="40">
        <f t="shared" si="59"/>
        <v>244.78</v>
      </c>
      <c r="S89" s="32">
        <f t="shared" si="60"/>
        <v>0</v>
      </c>
      <c r="T89" s="67"/>
      <c r="U89" s="67">
        <v>0</v>
      </c>
      <c r="V89" s="40">
        <f t="shared" si="61"/>
        <v>244.78</v>
      </c>
      <c r="W89" s="32">
        <f t="shared" si="62"/>
        <v>0</v>
      </c>
      <c r="X89" s="67"/>
      <c r="Y89" s="67">
        <v>0</v>
      </c>
      <c r="Z89" s="40">
        <f t="shared" si="63"/>
        <v>244.78</v>
      </c>
      <c r="AA89" s="32">
        <f t="shared" si="64"/>
        <v>0</v>
      </c>
    </row>
    <row r="90" spans="1:28">
      <c r="A90" s="14"/>
      <c r="B90" s="31"/>
      <c r="C90" s="192" t="s">
        <v>556</v>
      </c>
      <c r="D90" s="67" t="s">
        <v>69</v>
      </c>
      <c r="E90" s="29">
        <f t="shared" si="54"/>
        <v>1</v>
      </c>
      <c r="F90" s="40">
        <v>270.23</v>
      </c>
      <c r="G90" s="32">
        <f t="shared" si="55"/>
        <v>270.23</v>
      </c>
      <c r="H90" s="67"/>
      <c r="I90" s="67">
        <v>0</v>
      </c>
      <c r="J90" s="40">
        <f t="shared" si="56"/>
        <v>270.23</v>
      </c>
      <c r="K90" s="32">
        <f t="shared" si="57"/>
        <v>0</v>
      </c>
      <c r="L90" s="67"/>
      <c r="M90" s="67">
        <v>1</v>
      </c>
      <c r="N90" s="40">
        <v>270.23</v>
      </c>
      <c r="O90" s="32">
        <f t="shared" si="58"/>
        <v>270.23</v>
      </c>
      <c r="P90" s="67"/>
      <c r="Q90" s="67">
        <v>0</v>
      </c>
      <c r="R90" s="40">
        <f t="shared" si="59"/>
        <v>270.23</v>
      </c>
      <c r="S90" s="32">
        <f t="shared" si="60"/>
        <v>0</v>
      </c>
      <c r="T90" s="67"/>
      <c r="U90" s="67">
        <v>0</v>
      </c>
      <c r="V90" s="40">
        <f t="shared" si="61"/>
        <v>270.23</v>
      </c>
      <c r="W90" s="32">
        <f t="shared" si="62"/>
        <v>0</v>
      </c>
      <c r="X90" s="67"/>
      <c r="Y90" s="67">
        <v>0</v>
      </c>
      <c r="Z90" s="40">
        <f t="shared" si="63"/>
        <v>270.23</v>
      </c>
      <c r="AA90" s="32">
        <f t="shared" si="64"/>
        <v>0</v>
      </c>
    </row>
    <row r="91" spans="1:28">
      <c r="A91" s="14"/>
      <c r="B91" s="31"/>
      <c r="C91" s="192" t="s">
        <v>561</v>
      </c>
      <c r="D91" s="67" t="s">
        <v>69</v>
      </c>
      <c r="E91" s="29">
        <f t="shared" si="54"/>
        <v>1</v>
      </c>
      <c r="F91" s="40">
        <v>740.05</v>
      </c>
      <c r="G91" s="32">
        <f t="shared" si="55"/>
        <v>740.05</v>
      </c>
      <c r="H91" s="67"/>
      <c r="I91" s="67">
        <v>0</v>
      </c>
      <c r="J91" s="40">
        <f t="shared" si="56"/>
        <v>740.05</v>
      </c>
      <c r="K91" s="32">
        <f t="shared" si="57"/>
        <v>0</v>
      </c>
      <c r="L91" s="67"/>
      <c r="M91" s="67">
        <v>1</v>
      </c>
      <c r="N91" s="40">
        <v>740.05</v>
      </c>
      <c r="O91" s="32">
        <f t="shared" si="58"/>
        <v>740.05</v>
      </c>
      <c r="P91" s="67"/>
      <c r="Q91" s="67">
        <v>0</v>
      </c>
      <c r="R91" s="40">
        <f t="shared" si="59"/>
        <v>740.05</v>
      </c>
      <c r="S91" s="32">
        <f t="shared" si="60"/>
        <v>0</v>
      </c>
      <c r="T91" s="67"/>
      <c r="U91" s="67">
        <v>0</v>
      </c>
      <c r="V91" s="40">
        <f t="shared" si="61"/>
        <v>740.05</v>
      </c>
      <c r="W91" s="32">
        <f t="shared" si="62"/>
        <v>0</v>
      </c>
      <c r="X91" s="67"/>
      <c r="Y91" s="67">
        <v>0</v>
      </c>
      <c r="Z91" s="40">
        <f t="shared" si="63"/>
        <v>740.05</v>
      </c>
      <c r="AA91" s="32">
        <f t="shared" si="64"/>
        <v>0</v>
      </c>
      <c r="AB91" s="22"/>
    </row>
    <row r="92" spans="1:28">
      <c r="A92" s="14"/>
      <c r="B92" s="31"/>
      <c r="C92" s="192" t="s">
        <v>562</v>
      </c>
      <c r="D92" s="67" t="s">
        <v>69</v>
      </c>
      <c r="E92" s="29">
        <f t="shared" si="54"/>
        <v>1</v>
      </c>
      <c r="F92" s="40">
        <v>321.98</v>
      </c>
      <c r="G92" s="32">
        <f t="shared" si="55"/>
        <v>321.98</v>
      </c>
      <c r="H92" s="67"/>
      <c r="I92" s="67">
        <v>0</v>
      </c>
      <c r="J92" s="40">
        <f t="shared" si="56"/>
        <v>321.98</v>
      </c>
      <c r="K92" s="32">
        <f t="shared" si="57"/>
        <v>0</v>
      </c>
      <c r="L92" s="67"/>
      <c r="M92" s="67">
        <v>1</v>
      </c>
      <c r="N92" s="40">
        <v>321.98</v>
      </c>
      <c r="O92" s="32">
        <f t="shared" si="58"/>
        <v>321.98</v>
      </c>
      <c r="P92" s="67"/>
      <c r="Q92" s="67">
        <v>0</v>
      </c>
      <c r="R92" s="40">
        <f t="shared" si="59"/>
        <v>321.98</v>
      </c>
      <c r="S92" s="32">
        <f t="shared" si="60"/>
        <v>0</v>
      </c>
      <c r="T92" s="67"/>
      <c r="U92" s="67">
        <v>0</v>
      </c>
      <c r="V92" s="40">
        <f t="shared" si="61"/>
        <v>321.98</v>
      </c>
      <c r="W92" s="32">
        <f t="shared" si="62"/>
        <v>0</v>
      </c>
      <c r="X92" s="67"/>
      <c r="Y92" s="67">
        <v>0</v>
      </c>
      <c r="Z92" s="40">
        <f t="shared" si="63"/>
        <v>321.98</v>
      </c>
      <c r="AA92" s="32">
        <f t="shared" si="64"/>
        <v>0</v>
      </c>
      <c r="AB92" s="22"/>
    </row>
    <row r="93" spans="1:28">
      <c r="A93" s="14"/>
      <c r="B93" s="31"/>
      <c r="C93" s="28"/>
      <c r="D93" s="67"/>
      <c r="E93" s="67"/>
      <c r="F93" s="32"/>
      <c r="G93" s="32"/>
      <c r="H93" s="67"/>
      <c r="I93" s="67"/>
      <c r="J93" s="32"/>
      <c r="K93" s="32"/>
      <c r="L93" s="67"/>
      <c r="M93" s="67"/>
      <c r="N93" s="32"/>
      <c r="O93" s="32"/>
      <c r="P93" s="67"/>
      <c r="Q93" s="67"/>
      <c r="R93" s="32"/>
      <c r="S93" s="32"/>
      <c r="T93" s="67"/>
      <c r="U93" s="67"/>
      <c r="V93" s="32"/>
      <c r="W93" s="32"/>
      <c r="X93" s="67"/>
      <c r="Y93" s="67"/>
      <c r="Z93" s="32"/>
      <c r="AA93" s="32"/>
    </row>
    <row r="94" spans="1:28">
      <c r="A94" s="35"/>
      <c r="B94" s="27"/>
      <c r="C94" s="38" t="s">
        <v>552</v>
      </c>
      <c r="D94" s="68"/>
      <c r="E94" s="369"/>
      <c r="F94" s="33" t="s">
        <v>10</v>
      </c>
      <c r="G94" s="34">
        <f>K94+O94+S94+W94+AA94</f>
        <v>2649.84</v>
      </c>
      <c r="H94" s="68"/>
      <c r="I94" s="369"/>
      <c r="J94" s="33" t="s">
        <v>10</v>
      </c>
      <c r="K94" s="34">
        <f>SUM(K86:K93)</f>
        <v>0</v>
      </c>
      <c r="L94" s="68"/>
      <c r="M94" s="369"/>
      <c r="N94" s="33" t="s">
        <v>10</v>
      </c>
      <c r="O94" s="34">
        <f>SUM(O86:O93)</f>
        <v>2649.84</v>
      </c>
      <c r="P94" s="68"/>
      <c r="Q94" s="369"/>
      <c r="R94" s="33" t="s">
        <v>10</v>
      </c>
      <c r="S94" s="34">
        <f>SUM(S86:S93)</f>
        <v>0</v>
      </c>
      <c r="T94" s="68"/>
      <c r="U94" s="369"/>
      <c r="V94" s="33" t="s">
        <v>10</v>
      </c>
      <c r="W94" s="34">
        <f>SUM(W86:W93)</f>
        <v>0</v>
      </c>
      <c r="X94" s="68"/>
      <c r="Y94" s="369"/>
      <c r="Z94" s="33" t="s">
        <v>10</v>
      </c>
      <c r="AA94" s="34">
        <f>SUM(AA86:AA93)</f>
        <v>0</v>
      </c>
    </row>
    <row r="95" spans="1:28">
      <c r="A95" s="35"/>
      <c r="B95" s="27"/>
      <c r="C95" s="36"/>
      <c r="D95" s="68"/>
      <c r="E95" s="369"/>
      <c r="F95" s="33"/>
      <c r="G95" s="34"/>
      <c r="H95" s="68"/>
      <c r="I95" s="369"/>
      <c r="J95" s="33"/>
      <c r="K95" s="34"/>
      <c r="L95" s="68"/>
      <c r="M95" s="369"/>
      <c r="N95" s="33"/>
      <c r="O95" s="34"/>
      <c r="P95" s="68"/>
      <c r="Q95" s="369"/>
      <c r="R95" s="33"/>
      <c r="S95" s="34"/>
      <c r="T95" s="68"/>
      <c r="U95" s="369"/>
      <c r="V95" s="33"/>
      <c r="W95" s="34"/>
      <c r="X95" s="68"/>
      <c r="Y95" s="369"/>
      <c r="Z95" s="33"/>
      <c r="AA95" s="34"/>
    </row>
    <row r="96" spans="1:28">
      <c r="A96" s="35"/>
      <c r="B96" s="27"/>
      <c r="C96" s="36"/>
      <c r="D96" s="68"/>
      <c r="E96" s="369"/>
      <c r="F96" s="33"/>
      <c r="G96" s="34"/>
      <c r="H96" s="68"/>
      <c r="I96" s="369"/>
      <c r="J96" s="33"/>
      <c r="K96" s="34"/>
      <c r="L96" s="68"/>
      <c r="M96" s="369"/>
      <c r="N96" s="33"/>
      <c r="O96" s="34"/>
      <c r="P96" s="68"/>
      <c r="Q96" s="369"/>
      <c r="R96" s="33"/>
      <c r="S96" s="34"/>
      <c r="T96" s="68"/>
      <c r="U96" s="369"/>
      <c r="V96" s="33"/>
      <c r="W96" s="34"/>
      <c r="X96" s="68"/>
      <c r="Y96" s="369"/>
      <c r="Z96" s="33"/>
      <c r="AA96" s="34"/>
    </row>
    <row r="97" spans="1:27">
      <c r="A97" s="61"/>
      <c r="B97" s="62" t="s">
        <v>84</v>
      </c>
      <c r="C97" s="63" t="s">
        <v>82</v>
      </c>
      <c r="D97" s="64"/>
      <c r="E97" s="366"/>
      <c r="F97" s="66"/>
      <c r="G97" s="66"/>
      <c r="H97" s="64"/>
      <c r="I97" s="366"/>
      <c r="J97" s="66"/>
      <c r="K97" s="66"/>
      <c r="L97" s="64"/>
      <c r="M97" s="366"/>
      <c r="N97" s="66"/>
      <c r="O97" s="66"/>
      <c r="P97" s="64"/>
      <c r="Q97" s="366"/>
      <c r="R97" s="66"/>
      <c r="S97" s="66"/>
      <c r="T97" s="64"/>
      <c r="U97" s="366"/>
      <c r="V97" s="66"/>
      <c r="W97" s="66"/>
      <c r="X97" s="64"/>
      <c r="Y97" s="366"/>
      <c r="Z97" s="66"/>
      <c r="AA97" s="66"/>
    </row>
    <row r="98" spans="1:27">
      <c r="A98" s="14"/>
      <c r="B98" s="31"/>
      <c r="C98" s="192" t="s">
        <v>856</v>
      </c>
      <c r="D98" s="67" t="s">
        <v>69</v>
      </c>
      <c r="E98" s="29">
        <f>I98+M98+Q98+U98+Y98</f>
        <v>29</v>
      </c>
      <c r="F98" s="32">
        <v>44.35</v>
      </c>
      <c r="G98" s="32">
        <f>E98*F98</f>
        <v>1286.1500000000001</v>
      </c>
      <c r="H98" s="67"/>
      <c r="I98" s="67">
        <v>4</v>
      </c>
      <c r="J98" s="40">
        <f t="shared" ref="J98:J102" si="65">$F98</f>
        <v>44.35</v>
      </c>
      <c r="K98" s="32">
        <f t="shared" ref="K98:K102" si="66">I98*J98</f>
        <v>177.4</v>
      </c>
      <c r="L98" s="67"/>
      <c r="M98" s="67">
        <v>3</v>
      </c>
      <c r="N98" s="40">
        <f t="shared" ref="N98:N102" si="67">$F98</f>
        <v>44.35</v>
      </c>
      <c r="O98" s="32">
        <f t="shared" ref="O98:O102" si="68">M98*N98</f>
        <v>133.05000000000001</v>
      </c>
      <c r="P98" s="67"/>
      <c r="Q98" s="67">
        <v>8</v>
      </c>
      <c r="R98" s="40">
        <f t="shared" ref="R98:R102" si="69">$F98</f>
        <v>44.35</v>
      </c>
      <c r="S98" s="32">
        <f t="shared" ref="S98:S102" si="70">Q98*R98</f>
        <v>354.8</v>
      </c>
      <c r="T98" s="67"/>
      <c r="U98" s="67">
        <v>10</v>
      </c>
      <c r="V98" s="40">
        <f t="shared" ref="V98:V102" si="71">$F98</f>
        <v>44.35</v>
      </c>
      <c r="W98" s="32">
        <f t="shared" ref="W98:W102" si="72">U98*V98</f>
        <v>443.5</v>
      </c>
      <c r="X98" s="67"/>
      <c r="Y98" s="67">
        <v>4</v>
      </c>
      <c r="Z98" s="40">
        <f t="shared" ref="Z98:Z102" si="73">$F98</f>
        <v>44.35</v>
      </c>
      <c r="AA98" s="32">
        <f t="shared" ref="AA98:AA102" si="74">Y98*Z98</f>
        <v>177.4</v>
      </c>
    </row>
    <row r="99" spans="1:27">
      <c r="A99" s="14"/>
      <c r="B99" s="31"/>
      <c r="C99" s="192" t="s">
        <v>857</v>
      </c>
      <c r="D99" s="67" t="s">
        <v>69</v>
      </c>
      <c r="E99" s="29">
        <f>I99+M99+Q99+U99+Y99</f>
        <v>38</v>
      </c>
      <c r="F99" s="32">
        <v>59.14</v>
      </c>
      <c r="G99" s="32">
        <f>E99*F99</f>
        <v>2247.3200000000002</v>
      </c>
      <c r="H99" s="67"/>
      <c r="I99" s="67">
        <v>1</v>
      </c>
      <c r="J99" s="40">
        <f t="shared" si="65"/>
        <v>59.14</v>
      </c>
      <c r="K99" s="32">
        <f t="shared" si="66"/>
        <v>59.14</v>
      </c>
      <c r="L99" s="67"/>
      <c r="M99" s="67">
        <v>8</v>
      </c>
      <c r="N99" s="40">
        <f t="shared" si="67"/>
        <v>59.14</v>
      </c>
      <c r="O99" s="32">
        <f t="shared" si="68"/>
        <v>473.12</v>
      </c>
      <c r="P99" s="67"/>
      <c r="Q99" s="67">
        <v>10</v>
      </c>
      <c r="R99" s="40">
        <f t="shared" si="69"/>
        <v>59.14</v>
      </c>
      <c r="S99" s="32">
        <f t="shared" si="70"/>
        <v>591.4</v>
      </c>
      <c r="T99" s="67"/>
      <c r="U99" s="67">
        <v>16</v>
      </c>
      <c r="V99" s="40">
        <f t="shared" si="71"/>
        <v>59.14</v>
      </c>
      <c r="W99" s="32">
        <f t="shared" si="72"/>
        <v>946.24</v>
      </c>
      <c r="X99" s="67"/>
      <c r="Y99" s="67">
        <v>3</v>
      </c>
      <c r="Z99" s="40">
        <f t="shared" si="73"/>
        <v>59.14</v>
      </c>
      <c r="AA99" s="32">
        <f t="shared" si="74"/>
        <v>177.42000000000002</v>
      </c>
    </row>
    <row r="100" spans="1:27">
      <c r="A100" s="14"/>
      <c r="B100" s="31"/>
      <c r="C100" s="192" t="s">
        <v>858</v>
      </c>
      <c r="D100" s="67" t="s">
        <v>69</v>
      </c>
      <c r="E100" s="29">
        <f>I100+M100+Q100+U100+Y100</f>
        <v>20</v>
      </c>
      <c r="F100" s="32">
        <v>88.7</v>
      </c>
      <c r="G100" s="32">
        <f>E100*F100</f>
        <v>1774</v>
      </c>
      <c r="H100" s="67"/>
      <c r="I100" s="67">
        <v>3</v>
      </c>
      <c r="J100" s="40">
        <f t="shared" si="65"/>
        <v>88.7</v>
      </c>
      <c r="K100" s="32">
        <f t="shared" si="66"/>
        <v>266.10000000000002</v>
      </c>
      <c r="L100" s="67"/>
      <c r="M100" s="67">
        <v>5</v>
      </c>
      <c r="N100" s="40">
        <f t="shared" si="67"/>
        <v>88.7</v>
      </c>
      <c r="O100" s="32">
        <f t="shared" si="68"/>
        <v>443.5</v>
      </c>
      <c r="P100" s="67"/>
      <c r="Q100" s="67">
        <v>4</v>
      </c>
      <c r="R100" s="40">
        <f t="shared" si="69"/>
        <v>88.7</v>
      </c>
      <c r="S100" s="32">
        <f t="shared" si="70"/>
        <v>354.8</v>
      </c>
      <c r="T100" s="67"/>
      <c r="U100" s="67">
        <v>6</v>
      </c>
      <c r="V100" s="40">
        <f t="shared" si="71"/>
        <v>88.7</v>
      </c>
      <c r="W100" s="32">
        <f t="shared" si="72"/>
        <v>532.20000000000005</v>
      </c>
      <c r="X100" s="67"/>
      <c r="Y100" s="67">
        <v>2</v>
      </c>
      <c r="Z100" s="40">
        <f t="shared" si="73"/>
        <v>88.7</v>
      </c>
      <c r="AA100" s="32">
        <f t="shared" si="74"/>
        <v>177.4</v>
      </c>
    </row>
    <row r="101" spans="1:27">
      <c r="A101" s="14"/>
      <c r="B101" s="31"/>
      <c r="C101" s="192" t="s">
        <v>859</v>
      </c>
      <c r="D101" s="67" t="s">
        <v>69</v>
      </c>
      <c r="E101" s="29">
        <f>I101+M101+Q101+U101+Y101</f>
        <v>18</v>
      </c>
      <c r="F101" s="32">
        <v>177.41</v>
      </c>
      <c r="G101" s="32">
        <f>E101*F101</f>
        <v>3193.38</v>
      </c>
      <c r="H101" s="67"/>
      <c r="I101" s="67">
        <v>4</v>
      </c>
      <c r="J101" s="40">
        <f t="shared" si="65"/>
        <v>177.41</v>
      </c>
      <c r="K101" s="32">
        <f t="shared" si="66"/>
        <v>709.64</v>
      </c>
      <c r="L101" s="67"/>
      <c r="M101" s="67">
        <v>4</v>
      </c>
      <c r="N101" s="40">
        <f t="shared" si="67"/>
        <v>177.41</v>
      </c>
      <c r="O101" s="32">
        <f t="shared" si="68"/>
        <v>709.64</v>
      </c>
      <c r="P101" s="67"/>
      <c r="Q101" s="67">
        <v>6</v>
      </c>
      <c r="R101" s="40">
        <f t="shared" si="69"/>
        <v>177.41</v>
      </c>
      <c r="S101" s="32">
        <f t="shared" si="70"/>
        <v>1064.46</v>
      </c>
      <c r="T101" s="67"/>
      <c r="U101" s="67">
        <v>4</v>
      </c>
      <c r="V101" s="40">
        <f t="shared" si="71"/>
        <v>177.41</v>
      </c>
      <c r="W101" s="32">
        <f t="shared" si="72"/>
        <v>709.64</v>
      </c>
      <c r="X101" s="67"/>
      <c r="Y101" s="67">
        <v>0</v>
      </c>
      <c r="Z101" s="40">
        <f t="shared" si="73"/>
        <v>177.41</v>
      </c>
      <c r="AA101" s="32">
        <f t="shared" si="74"/>
        <v>0</v>
      </c>
    </row>
    <row r="102" spans="1:27">
      <c r="A102" s="14"/>
      <c r="B102" s="31"/>
      <c r="C102" s="192" t="s">
        <v>860</v>
      </c>
      <c r="D102" s="67" t="s">
        <v>69</v>
      </c>
      <c r="E102" s="29">
        <f>I102+M102+Q102+U102+Y102</f>
        <v>27</v>
      </c>
      <c r="F102" s="32">
        <v>36.96</v>
      </c>
      <c r="G102" s="32">
        <f>E102*F102</f>
        <v>997.92000000000007</v>
      </c>
      <c r="H102" s="67"/>
      <c r="I102" s="67">
        <v>3</v>
      </c>
      <c r="J102" s="40">
        <f t="shared" si="65"/>
        <v>36.96</v>
      </c>
      <c r="K102" s="32">
        <f t="shared" si="66"/>
        <v>110.88</v>
      </c>
      <c r="L102" s="67"/>
      <c r="M102" s="67">
        <v>6</v>
      </c>
      <c r="N102" s="40">
        <f t="shared" si="67"/>
        <v>36.96</v>
      </c>
      <c r="O102" s="32">
        <f t="shared" si="68"/>
        <v>221.76</v>
      </c>
      <c r="P102" s="67"/>
      <c r="Q102" s="67">
        <v>10</v>
      </c>
      <c r="R102" s="40">
        <f t="shared" si="69"/>
        <v>36.96</v>
      </c>
      <c r="S102" s="32">
        <f t="shared" si="70"/>
        <v>369.6</v>
      </c>
      <c r="T102" s="67"/>
      <c r="U102" s="67">
        <v>4</v>
      </c>
      <c r="V102" s="40">
        <f t="shared" si="71"/>
        <v>36.96</v>
      </c>
      <c r="W102" s="32">
        <f t="shared" si="72"/>
        <v>147.84</v>
      </c>
      <c r="X102" s="67"/>
      <c r="Y102" s="67">
        <v>4</v>
      </c>
      <c r="Z102" s="40">
        <f t="shared" si="73"/>
        <v>36.96</v>
      </c>
      <c r="AA102" s="32">
        <f t="shared" si="74"/>
        <v>147.84</v>
      </c>
    </row>
    <row r="103" spans="1:27">
      <c r="A103" s="14"/>
      <c r="B103" s="31"/>
      <c r="C103" s="192"/>
      <c r="D103" s="67"/>
      <c r="E103" s="67"/>
      <c r="F103" s="32"/>
      <c r="G103" s="32"/>
      <c r="H103" s="67"/>
      <c r="I103" s="67"/>
      <c r="J103" s="40"/>
      <c r="K103" s="32"/>
      <c r="L103" s="67"/>
      <c r="M103" s="67"/>
      <c r="N103" s="40"/>
      <c r="O103" s="32"/>
      <c r="P103" s="67"/>
      <c r="Q103" s="67"/>
      <c r="R103" s="40"/>
      <c r="S103" s="32"/>
      <c r="T103" s="67"/>
      <c r="U103" s="67"/>
      <c r="V103" s="40"/>
      <c r="W103" s="32"/>
      <c r="X103" s="67"/>
      <c r="Y103" s="67"/>
      <c r="Z103" s="40"/>
      <c r="AA103" s="32"/>
    </row>
    <row r="104" spans="1:27">
      <c r="A104" s="35"/>
      <c r="B104" s="27"/>
      <c r="C104" s="38" t="s">
        <v>89</v>
      </c>
      <c r="D104" s="68"/>
      <c r="E104" s="369"/>
      <c r="F104" s="33" t="s">
        <v>10</v>
      </c>
      <c r="G104" s="34">
        <f>K104+O104+S104+W104+AA104</f>
        <v>9498.7699999999986</v>
      </c>
      <c r="H104" s="68"/>
      <c r="I104" s="369"/>
      <c r="J104" s="33" t="s">
        <v>10</v>
      </c>
      <c r="K104" s="34">
        <f>SUM(K97:K103)</f>
        <v>1323.1599999999999</v>
      </c>
      <c r="L104" s="68"/>
      <c r="M104" s="369"/>
      <c r="N104" s="33" t="s">
        <v>10</v>
      </c>
      <c r="O104" s="34">
        <f>SUM(O97:O103)</f>
        <v>1981.07</v>
      </c>
      <c r="P104" s="68"/>
      <c r="Q104" s="369"/>
      <c r="R104" s="33" t="s">
        <v>10</v>
      </c>
      <c r="S104" s="34">
        <f>SUM(S97:S103)</f>
        <v>2735.06</v>
      </c>
      <c r="T104" s="68"/>
      <c r="U104" s="369"/>
      <c r="V104" s="33" t="s">
        <v>10</v>
      </c>
      <c r="W104" s="34">
        <f>SUM(W97:W103)</f>
        <v>2779.42</v>
      </c>
      <c r="X104" s="68"/>
      <c r="Y104" s="369"/>
      <c r="Z104" s="33" t="s">
        <v>10</v>
      </c>
      <c r="AA104" s="34">
        <f>SUM(AA97:AA103)</f>
        <v>680.06000000000006</v>
      </c>
    </row>
    <row r="105" spans="1:27">
      <c r="A105" s="35"/>
      <c r="B105" s="27"/>
      <c r="C105" s="36"/>
      <c r="D105" s="68"/>
      <c r="E105" s="369"/>
      <c r="F105" s="33"/>
      <c r="G105" s="34"/>
      <c r="H105" s="68"/>
      <c r="I105" s="369"/>
      <c r="J105" s="33"/>
      <c r="K105" s="34"/>
      <c r="L105" s="68"/>
      <c r="M105" s="369"/>
      <c r="N105" s="33"/>
      <c r="O105" s="34"/>
      <c r="P105" s="68"/>
      <c r="Q105" s="369"/>
      <c r="R105" s="33"/>
      <c r="S105" s="34"/>
      <c r="T105" s="68"/>
      <c r="U105" s="369"/>
      <c r="V105" s="33"/>
      <c r="W105" s="34"/>
      <c r="X105" s="68"/>
      <c r="Y105" s="369"/>
      <c r="Z105" s="33"/>
      <c r="AA105" s="34"/>
    </row>
    <row r="106" spans="1:27">
      <c r="A106" s="35"/>
      <c r="B106" s="27"/>
      <c r="C106" s="36"/>
      <c r="D106" s="68"/>
      <c r="E106" s="369"/>
      <c r="F106" s="33"/>
      <c r="G106" s="34"/>
      <c r="H106" s="68"/>
      <c r="I106" s="369"/>
      <c r="J106" s="33"/>
      <c r="K106" s="34"/>
      <c r="L106" s="68"/>
      <c r="M106" s="369"/>
      <c r="N106" s="33"/>
      <c r="O106" s="34"/>
      <c r="P106" s="68"/>
      <c r="Q106" s="369"/>
      <c r="R106" s="33"/>
      <c r="S106" s="34"/>
      <c r="T106" s="68"/>
      <c r="U106" s="369"/>
      <c r="V106" s="33"/>
      <c r="W106" s="34"/>
      <c r="X106" s="68"/>
      <c r="Y106" s="369"/>
      <c r="Z106" s="33"/>
      <c r="AA106" s="34"/>
    </row>
    <row r="107" spans="1:27">
      <c r="A107" s="61"/>
      <c r="B107" s="62" t="s">
        <v>85</v>
      </c>
      <c r="C107" s="63" t="s">
        <v>81</v>
      </c>
      <c r="D107" s="64"/>
      <c r="E107" s="366"/>
      <c r="F107" s="66"/>
      <c r="G107" s="66"/>
      <c r="H107" s="64"/>
      <c r="I107" s="366"/>
      <c r="J107" s="66"/>
      <c r="K107" s="66"/>
      <c r="L107" s="64"/>
      <c r="M107" s="366"/>
      <c r="N107" s="66"/>
      <c r="O107" s="66"/>
      <c r="P107" s="64"/>
      <c r="Q107" s="366"/>
      <c r="R107" s="66"/>
      <c r="S107" s="66"/>
      <c r="T107" s="64"/>
      <c r="U107" s="366"/>
      <c r="V107" s="66"/>
      <c r="W107" s="66"/>
      <c r="X107" s="64"/>
      <c r="Y107" s="366"/>
      <c r="Z107" s="66"/>
      <c r="AA107" s="66"/>
    </row>
    <row r="108" spans="1:27">
      <c r="A108" s="14"/>
      <c r="B108" s="31"/>
      <c r="C108" s="192" t="s">
        <v>563</v>
      </c>
      <c r="D108" s="67" t="s">
        <v>6</v>
      </c>
      <c r="E108" s="29">
        <f>I108+M108+Q108+U108+Y108</f>
        <v>1</v>
      </c>
      <c r="F108" s="32">
        <v>6226.24</v>
      </c>
      <c r="G108" s="32">
        <f>E108*F108</f>
        <v>6226.24</v>
      </c>
      <c r="H108" s="67"/>
      <c r="I108" s="67">
        <v>1</v>
      </c>
      <c r="J108" s="40">
        <f t="shared" ref="J108:J112" si="75">$F108</f>
        <v>6226.24</v>
      </c>
      <c r="K108" s="32">
        <f t="shared" ref="K108:K112" si="76">I108*J108</f>
        <v>6226.24</v>
      </c>
      <c r="L108" s="67"/>
      <c r="M108" s="67">
        <v>0</v>
      </c>
      <c r="N108" s="40">
        <f t="shared" ref="N108:N112" si="77">$F108</f>
        <v>6226.24</v>
      </c>
      <c r="O108" s="32">
        <f t="shared" ref="O108:O112" si="78">M108*N108</f>
        <v>0</v>
      </c>
      <c r="P108" s="67"/>
      <c r="Q108" s="67">
        <v>0</v>
      </c>
      <c r="R108" s="40">
        <f t="shared" ref="R108:R111" si="79">$F108</f>
        <v>6226.24</v>
      </c>
      <c r="S108" s="32">
        <f t="shared" ref="S108:S111" si="80">Q108*R108</f>
        <v>0</v>
      </c>
      <c r="T108" s="67"/>
      <c r="U108" s="67">
        <v>0</v>
      </c>
      <c r="V108" s="40">
        <f t="shared" ref="V108:V112" si="81">$F108</f>
        <v>6226.24</v>
      </c>
      <c r="W108" s="32">
        <f t="shared" ref="W108:W112" si="82">U108*V108</f>
        <v>0</v>
      </c>
      <c r="X108" s="67"/>
      <c r="Y108" s="67">
        <v>0</v>
      </c>
      <c r="Z108" s="40">
        <f t="shared" ref="Z108:Z112" si="83">$F108</f>
        <v>6226.24</v>
      </c>
      <c r="AA108" s="32">
        <f t="shared" ref="AA108:AA112" si="84">Y108*Z108</f>
        <v>0</v>
      </c>
    </row>
    <row r="109" spans="1:27">
      <c r="A109" s="14"/>
      <c r="B109" s="31"/>
      <c r="C109" s="192" t="s">
        <v>564</v>
      </c>
      <c r="D109" s="67" t="s">
        <v>6</v>
      </c>
      <c r="E109" s="29">
        <f>I109+M109+Q109+U109+Y109</f>
        <v>1</v>
      </c>
      <c r="F109" s="32">
        <v>518.29</v>
      </c>
      <c r="G109" s="32">
        <f>E109*F109</f>
        <v>518.29</v>
      </c>
      <c r="H109" s="67"/>
      <c r="I109" s="67">
        <v>1</v>
      </c>
      <c r="J109" s="40">
        <f>$F109</f>
        <v>518.29</v>
      </c>
      <c r="K109" s="32">
        <f t="shared" si="76"/>
        <v>518.29</v>
      </c>
      <c r="L109" s="67"/>
      <c r="M109" s="67">
        <v>0</v>
      </c>
      <c r="N109" s="40">
        <f t="shared" si="77"/>
        <v>518.29</v>
      </c>
      <c r="O109" s="32">
        <f t="shared" si="78"/>
        <v>0</v>
      </c>
      <c r="P109" s="67"/>
      <c r="Q109" s="67">
        <v>0</v>
      </c>
      <c r="R109" s="40">
        <f t="shared" si="79"/>
        <v>518.29</v>
      </c>
      <c r="S109" s="32">
        <f t="shared" si="80"/>
        <v>0</v>
      </c>
      <c r="T109" s="67"/>
      <c r="U109" s="67">
        <v>0</v>
      </c>
      <c r="V109" s="40">
        <f t="shared" si="81"/>
        <v>518.29</v>
      </c>
      <c r="W109" s="32">
        <f t="shared" si="82"/>
        <v>0</v>
      </c>
      <c r="X109" s="67"/>
      <c r="Y109" s="67">
        <v>0</v>
      </c>
      <c r="Z109" s="40">
        <f t="shared" si="83"/>
        <v>518.29</v>
      </c>
      <c r="AA109" s="32">
        <f t="shared" si="84"/>
        <v>0</v>
      </c>
    </row>
    <row r="110" spans="1:27">
      <c r="A110" s="14"/>
      <c r="B110" s="31"/>
      <c r="C110" s="192" t="s">
        <v>565</v>
      </c>
      <c r="D110" s="67" t="s">
        <v>70</v>
      </c>
      <c r="E110" s="29">
        <f>I110+M110+Q110+U110+Y110</f>
        <v>138</v>
      </c>
      <c r="F110" s="32">
        <v>11.85</v>
      </c>
      <c r="G110" s="32">
        <f>E110*F110</f>
        <v>1635.3</v>
      </c>
      <c r="H110" s="67"/>
      <c r="I110" s="67">
        <v>18</v>
      </c>
      <c r="J110" s="40">
        <f t="shared" si="75"/>
        <v>11.85</v>
      </c>
      <c r="K110" s="32">
        <f t="shared" si="76"/>
        <v>213.29999999999998</v>
      </c>
      <c r="L110" s="67"/>
      <c r="M110" s="67">
        <v>36</v>
      </c>
      <c r="N110" s="40">
        <f t="shared" si="77"/>
        <v>11.85</v>
      </c>
      <c r="O110" s="32">
        <f t="shared" si="78"/>
        <v>426.59999999999997</v>
      </c>
      <c r="P110" s="67"/>
      <c r="Q110" s="67">
        <v>48</v>
      </c>
      <c r="R110" s="40">
        <f t="shared" si="79"/>
        <v>11.85</v>
      </c>
      <c r="S110" s="32">
        <f t="shared" si="80"/>
        <v>568.79999999999995</v>
      </c>
      <c r="T110" s="67"/>
      <c r="U110" s="67">
        <v>24</v>
      </c>
      <c r="V110" s="40">
        <f t="shared" si="81"/>
        <v>11.85</v>
      </c>
      <c r="W110" s="32">
        <f t="shared" si="82"/>
        <v>284.39999999999998</v>
      </c>
      <c r="X110" s="67"/>
      <c r="Y110" s="67">
        <v>12</v>
      </c>
      <c r="Z110" s="40">
        <f t="shared" si="83"/>
        <v>11.85</v>
      </c>
      <c r="AA110" s="32">
        <f t="shared" si="84"/>
        <v>142.19999999999999</v>
      </c>
    </row>
    <row r="111" spans="1:27">
      <c r="A111" s="14"/>
      <c r="B111" s="31"/>
      <c r="C111" s="192" t="s">
        <v>810</v>
      </c>
      <c r="D111" s="67" t="s">
        <v>70</v>
      </c>
      <c r="E111" s="29">
        <f>I111+M111+Q111+U111+Y111</f>
        <v>160</v>
      </c>
      <c r="F111" s="40">
        <v>41.61</v>
      </c>
      <c r="G111" s="32">
        <f>E111*F111</f>
        <v>6657.6</v>
      </c>
      <c r="H111" s="67"/>
      <c r="I111" s="67">
        <v>10</v>
      </c>
      <c r="J111" s="40">
        <f t="shared" si="75"/>
        <v>41.61</v>
      </c>
      <c r="K111" s="32">
        <f t="shared" si="76"/>
        <v>416.1</v>
      </c>
      <c r="L111" s="67"/>
      <c r="M111" s="67">
        <v>40</v>
      </c>
      <c r="N111" s="40">
        <f t="shared" si="77"/>
        <v>41.61</v>
      </c>
      <c r="O111" s="32">
        <f t="shared" si="78"/>
        <v>1664.4</v>
      </c>
      <c r="P111" s="67"/>
      <c r="Q111" s="67">
        <v>50</v>
      </c>
      <c r="R111" s="40">
        <f t="shared" si="79"/>
        <v>41.61</v>
      </c>
      <c r="S111" s="32">
        <f t="shared" si="80"/>
        <v>2080.5</v>
      </c>
      <c r="T111" s="67"/>
      <c r="U111" s="67">
        <v>40</v>
      </c>
      <c r="V111" s="40">
        <f t="shared" si="81"/>
        <v>41.61</v>
      </c>
      <c r="W111" s="32">
        <f t="shared" si="82"/>
        <v>1664.4</v>
      </c>
      <c r="X111" s="67"/>
      <c r="Y111" s="67">
        <v>20</v>
      </c>
      <c r="Z111" s="40">
        <f t="shared" si="83"/>
        <v>41.61</v>
      </c>
      <c r="AA111" s="32">
        <f t="shared" si="84"/>
        <v>832.2</v>
      </c>
    </row>
    <row r="112" spans="1:27">
      <c r="A112" s="14"/>
      <c r="B112" s="31"/>
      <c r="C112" s="192" t="s">
        <v>714</v>
      </c>
      <c r="D112" s="67" t="s">
        <v>6</v>
      </c>
      <c r="E112" s="29">
        <f>I112+M112+Q112+U112+Y112</f>
        <v>2</v>
      </c>
      <c r="F112" s="40">
        <v>483.02</v>
      </c>
      <c r="G112" s="32">
        <f>E112*F112</f>
        <v>966.04</v>
      </c>
      <c r="H112" s="67"/>
      <c r="I112" s="67">
        <v>1</v>
      </c>
      <c r="J112" s="40">
        <f t="shared" si="75"/>
        <v>483.02</v>
      </c>
      <c r="K112" s="32">
        <f t="shared" si="76"/>
        <v>483.02</v>
      </c>
      <c r="L112" s="67"/>
      <c r="M112" s="67">
        <v>0</v>
      </c>
      <c r="N112" s="40">
        <f t="shared" si="77"/>
        <v>483.02</v>
      </c>
      <c r="O112" s="32">
        <f t="shared" si="78"/>
        <v>0</v>
      </c>
      <c r="P112" s="67"/>
      <c r="Q112" s="67">
        <v>1</v>
      </c>
      <c r="R112" s="40">
        <f>$F112</f>
        <v>483.02</v>
      </c>
      <c r="S112" s="32">
        <f>Q112*R112</f>
        <v>483.02</v>
      </c>
      <c r="T112" s="67"/>
      <c r="U112" s="67">
        <v>0</v>
      </c>
      <c r="V112" s="40">
        <f t="shared" si="81"/>
        <v>483.02</v>
      </c>
      <c r="W112" s="32">
        <f t="shared" si="82"/>
        <v>0</v>
      </c>
      <c r="X112" s="67"/>
      <c r="Y112" s="67">
        <v>0</v>
      </c>
      <c r="Z112" s="40">
        <f t="shared" si="83"/>
        <v>483.02</v>
      </c>
      <c r="AA112" s="32">
        <f t="shared" si="84"/>
        <v>0</v>
      </c>
    </row>
    <row r="113" spans="1:27">
      <c r="A113" s="14"/>
      <c r="B113" s="31"/>
      <c r="C113" s="192"/>
      <c r="D113" s="67"/>
      <c r="E113" s="67"/>
      <c r="F113" s="32"/>
      <c r="G113" s="32"/>
      <c r="H113" s="67"/>
      <c r="I113" s="67"/>
      <c r="J113" s="32"/>
      <c r="K113" s="32"/>
      <c r="L113" s="67"/>
      <c r="M113" s="67"/>
      <c r="N113" s="32"/>
      <c r="O113" s="32"/>
      <c r="P113" s="67"/>
      <c r="Q113" s="67"/>
      <c r="R113" s="32"/>
      <c r="S113" s="32"/>
      <c r="T113" s="67"/>
      <c r="U113" s="67"/>
      <c r="V113" s="32"/>
      <c r="W113" s="32"/>
      <c r="X113" s="67"/>
      <c r="Y113" s="67"/>
      <c r="Z113" s="32"/>
      <c r="AA113" s="32"/>
    </row>
    <row r="114" spans="1:27">
      <c r="A114" s="35"/>
      <c r="B114" s="27"/>
      <c r="C114" s="198" t="s">
        <v>90</v>
      </c>
      <c r="D114" s="68"/>
      <c r="E114" s="369"/>
      <c r="F114" s="33" t="s">
        <v>10</v>
      </c>
      <c r="G114" s="34">
        <f>K114+O114+S114+W114+AA114</f>
        <v>16003.47</v>
      </c>
      <c r="H114" s="68"/>
      <c r="I114" s="369"/>
      <c r="J114" s="33" t="s">
        <v>10</v>
      </c>
      <c r="K114" s="34">
        <f>SUM(K107:K113)</f>
        <v>7856.9500000000007</v>
      </c>
      <c r="L114" s="67"/>
      <c r="M114" s="67"/>
      <c r="N114" s="33" t="s">
        <v>10</v>
      </c>
      <c r="O114" s="34">
        <f>SUM(O107:O113)</f>
        <v>2091</v>
      </c>
      <c r="P114" s="67"/>
      <c r="Q114" s="67"/>
      <c r="R114" s="33" t="s">
        <v>10</v>
      </c>
      <c r="S114" s="34">
        <f>SUM(S107:S113)</f>
        <v>3132.32</v>
      </c>
      <c r="T114" s="67"/>
      <c r="U114" s="67"/>
      <c r="V114" s="33" t="s">
        <v>10</v>
      </c>
      <c r="W114" s="34">
        <f>SUM(W107:W113)</f>
        <v>1948.8000000000002</v>
      </c>
      <c r="X114" s="67"/>
      <c r="Y114" s="67"/>
      <c r="Z114" s="33" t="s">
        <v>10</v>
      </c>
      <c r="AA114" s="34">
        <f>SUM(AA107:AA113)</f>
        <v>974.40000000000009</v>
      </c>
    </row>
    <row r="115" spans="1:27">
      <c r="A115" s="35"/>
      <c r="B115" s="27"/>
      <c r="C115" s="36"/>
      <c r="D115" s="68"/>
      <c r="E115" s="369"/>
      <c r="F115" s="33"/>
      <c r="G115" s="34"/>
      <c r="H115" s="68"/>
      <c r="I115" s="369"/>
      <c r="J115" s="33"/>
      <c r="K115" s="34"/>
      <c r="L115" s="67"/>
      <c r="M115" s="67"/>
      <c r="N115" s="33"/>
      <c r="O115" s="34"/>
      <c r="P115" s="67"/>
      <c r="Q115" s="67"/>
      <c r="R115" s="33"/>
      <c r="S115" s="34"/>
      <c r="T115" s="67"/>
      <c r="U115" s="67"/>
      <c r="V115" s="33"/>
      <c r="W115" s="34"/>
      <c r="X115" s="67"/>
      <c r="Y115" s="67"/>
      <c r="Z115" s="33"/>
      <c r="AA115" s="34"/>
    </row>
    <row r="116" spans="1:27">
      <c r="A116" s="35"/>
      <c r="B116" s="27"/>
      <c r="C116" s="36"/>
      <c r="D116" s="68"/>
      <c r="E116" s="369"/>
      <c r="F116" s="33"/>
      <c r="G116" s="34"/>
      <c r="H116" s="68"/>
      <c r="I116" s="369"/>
      <c r="J116" s="33"/>
      <c r="K116" s="34"/>
      <c r="L116" s="67"/>
      <c r="M116" s="67"/>
      <c r="N116" s="33"/>
      <c r="O116" s="34"/>
      <c r="P116" s="67"/>
      <c r="Q116" s="67"/>
      <c r="R116" s="33"/>
      <c r="S116" s="34"/>
      <c r="T116" s="67"/>
      <c r="U116" s="67"/>
      <c r="V116" s="33"/>
      <c r="W116" s="34"/>
      <c r="X116" s="67"/>
      <c r="Y116" s="67"/>
      <c r="Z116" s="33"/>
      <c r="AA116" s="34"/>
    </row>
    <row r="117" spans="1:27">
      <c r="A117" s="35"/>
      <c r="B117" s="458"/>
      <c r="C117" s="446" t="s">
        <v>1051</v>
      </c>
      <c r="D117" s="447" t="s">
        <v>6</v>
      </c>
      <c r="E117" s="448">
        <v>1</v>
      </c>
      <c r="F117" s="453">
        <f>357871.67-361588</f>
        <v>-3716.3300000000163</v>
      </c>
      <c r="G117" s="427">
        <f>E117*F117</f>
        <v>-3716.3300000000163</v>
      </c>
      <c r="H117" s="449"/>
      <c r="I117" s="450">
        <v>0.18</v>
      </c>
      <c r="J117" s="453">
        <f>F117</f>
        <v>-3716.3300000000163</v>
      </c>
      <c r="K117" s="427">
        <f t="shared" ref="K117" si="85">I117*J117</f>
        <v>-668.93940000000293</v>
      </c>
      <c r="L117" s="459"/>
      <c r="M117" s="450">
        <v>0.16</v>
      </c>
      <c r="N117" s="453">
        <f>F117</f>
        <v>-3716.3300000000163</v>
      </c>
      <c r="O117" s="427">
        <f t="shared" ref="O117" si="86">M117*N117</f>
        <v>-594.61280000000261</v>
      </c>
      <c r="P117" s="459"/>
      <c r="Q117" s="450">
        <v>0.33</v>
      </c>
      <c r="R117" s="453">
        <f>F117</f>
        <v>-3716.3300000000163</v>
      </c>
      <c r="S117" s="427">
        <f t="shared" ref="S117" si="87">Q117*R117</f>
        <v>-1226.3889000000054</v>
      </c>
      <c r="T117" s="459"/>
      <c r="U117" s="450">
        <v>0.28000000000000003</v>
      </c>
      <c r="V117" s="453">
        <f>F117</f>
        <v>-3716.3300000000163</v>
      </c>
      <c r="W117" s="427">
        <f t="shared" ref="W117" si="88">U117*V117</f>
        <v>-1040.5724000000046</v>
      </c>
      <c r="X117" s="459"/>
      <c r="Y117" s="450">
        <v>0.05</v>
      </c>
      <c r="Z117" s="453">
        <f>F117</f>
        <v>-3716.3300000000163</v>
      </c>
      <c r="AA117" s="427">
        <f t="shared" ref="AA117" si="89">Y117*Z117</f>
        <v>-185.81650000000081</v>
      </c>
    </row>
    <row r="118" spans="1:27">
      <c r="A118" s="35"/>
      <c r="B118" s="27"/>
      <c r="C118" s="36"/>
      <c r="D118" s="68"/>
      <c r="E118" s="369"/>
      <c r="F118" s="33"/>
      <c r="G118" s="34"/>
      <c r="H118" s="68"/>
      <c r="I118" s="369"/>
      <c r="J118" s="33"/>
      <c r="K118" s="34"/>
      <c r="L118" s="67"/>
      <c r="M118" s="67"/>
      <c r="N118" s="33"/>
      <c r="O118" s="34"/>
      <c r="P118" s="67"/>
      <c r="Q118" s="67"/>
      <c r="R118" s="33"/>
      <c r="S118" s="34"/>
      <c r="T118" s="67"/>
      <c r="U118" s="67"/>
      <c r="V118" s="33"/>
      <c r="W118" s="34"/>
      <c r="X118" s="67"/>
      <c r="Y118" s="67"/>
      <c r="Z118" s="33"/>
      <c r="AA118" s="34"/>
    </row>
    <row r="119" spans="1:27">
      <c r="A119" s="14"/>
      <c r="B119" s="31"/>
      <c r="C119" s="38"/>
      <c r="D119" s="69"/>
      <c r="E119" s="37"/>
      <c r="F119" s="30"/>
      <c r="G119" s="34"/>
      <c r="H119" s="69"/>
      <c r="I119" s="37"/>
      <c r="J119" s="30"/>
      <c r="K119" s="34"/>
      <c r="M119" s="37"/>
      <c r="N119" s="30"/>
      <c r="O119" s="34"/>
      <c r="Q119" s="37"/>
      <c r="R119" s="30"/>
      <c r="S119" s="34"/>
      <c r="U119" s="37"/>
      <c r="V119" s="30"/>
      <c r="W119" s="34"/>
      <c r="Y119" s="37"/>
      <c r="Z119" s="30"/>
      <c r="AA119" s="34"/>
    </row>
    <row r="120" spans="1:27" ht="6" customHeight="1">
      <c r="A120" s="70"/>
      <c r="B120" s="41"/>
      <c r="C120" s="42"/>
      <c r="D120" s="41"/>
      <c r="E120" s="41"/>
      <c r="F120" s="44"/>
      <c r="G120" s="44"/>
      <c r="H120" s="41"/>
      <c r="I120" s="43"/>
      <c r="J120" s="44"/>
      <c r="K120" s="44"/>
      <c r="L120" s="41"/>
      <c r="M120" s="43"/>
      <c r="N120" s="44"/>
      <c r="O120" s="44"/>
      <c r="P120" s="41"/>
      <c r="Q120" s="43"/>
      <c r="R120" s="44"/>
      <c r="S120" s="44"/>
      <c r="T120" s="41"/>
      <c r="U120" s="43"/>
      <c r="V120" s="44"/>
      <c r="W120" s="44"/>
      <c r="X120" s="41"/>
      <c r="Y120" s="43"/>
      <c r="Z120" s="44"/>
      <c r="AA120" s="44"/>
    </row>
    <row r="121" spans="1:27" s="56" customFormat="1">
      <c r="A121" s="71"/>
      <c r="B121" s="72"/>
      <c r="C121" s="53" t="s">
        <v>7</v>
      </c>
      <c r="D121" s="52"/>
      <c r="E121" s="52"/>
      <c r="F121" s="55"/>
      <c r="G121" s="55">
        <f>G38+G45+G55+G64+G83+G104+G114+G94+G117</f>
        <v>357871.67</v>
      </c>
      <c r="H121" s="52"/>
      <c r="I121" s="54"/>
      <c r="J121" s="55"/>
      <c r="K121" s="55">
        <f>K38+K45+K55+K64+K83+K104+K114+K94+K117</f>
        <v>65793.820600000006</v>
      </c>
      <c r="L121" s="52"/>
      <c r="M121" s="54"/>
      <c r="N121" s="55"/>
      <c r="O121" s="55">
        <f>O38+O45+O55+O64+O83+O104+O114+O94+O117</f>
        <v>56232.537200000006</v>
      </c>
      <c r="P121" s="52"/>
      <c r="Q121" s="54"/>
      <c r="R121" s="55"/>
      <c r="S121" s="55">
        <f>S38+S45+S55+S64+S83+S104+S114+S94+S117</f>
        <v>117196.9911</v>
      </c>
      <c r="T121" s="52"/>
      <c r="U121" s="54"/>
      <c r="V121" s="55"/>
      <c r="W121" s="55">
        <f>W38+W45+W55+W64+W83+W104+W114+W94+W117</f>
        <v>100989.98760000001</v>
      </c>
      <c r="X121" s="52"/>
      <c r="Y121" s="54"/>
      <c r="Z121" s="55"/>
      <c r="AA121" s="55">
        <f>AA38+AA45+AA55+AA64+AA83+AA104+AA114+AA94+AA117</f>
        <v>17658.333500000004</v>
      </c>
    </row>
    <row r="122" spans="1:27" s="56" customFormat="1">
      <c r="A122" s="71"/>
      <c r="B122" s="72"/>
      <c r="C122" s="53" t="s">
        <v>8</v>
      </c>
      <c r="D122" s="52"/>
      <c r="E122" s="52"/>
      <c r="F122" s="55"/>
      <c r="G122" s="55">
        <f>G121*0.2</f>
        <v>71574.334000000003</v>
      </c>
      <c r="H122" s="52"/>
      <c r="I122" s="54"/>
      <c r="J122" s="55"/>
      <c r="K122" s="55">
        <f>K121*0.2</f>
        <v>13158.764120000002</v>
      </c>
      <c r="L122" s="52"/>
      <c r="M122" s="54"/>
      <c r="N122" s="55"/>
      <c r="O122" s="55">
        <f>O121*0.2</f>
        <v>11246.507440000001</v>
      </c>
      <c r="P122" s="52"/>
      <c r="Q122" s="54"/>
      <c r="R122" s="55"/>
      <c r="S122" s="55">
        <f>S121*0.2</f>
        <v>23439.398220000003</v>
      </c>
      <c r="T122" s="52"/>
      <c r="U122" s="54"/>
      <c r="V122" s="55"/>
      <c r="W122" s="55">
        <f>W121*0.2</f>
        <v>20197.997520000004</v>
      </c>
      <c r="X122" s="52"/>
      <c r="Y122" s="54"/>
      <c r="Z122" s="55"/>
      <c r="AA122" s="55">
        <f>AA121*0.2</f>
        <v>3531.6667000000011</v>
      </c>
    </row>
    <row r="123" spans="1:27" s="56" customFormat="1">
      <c r="A123" s="71"/>
      <c r="B123" s="72"/>
      <c r="C123" s="53" t="s">
        <v>9</v>
      </c>
      <c r="D123" s="52"/>
      <c r="E123" s="52"/>
      <c r="F123" s="55"/>
      <c r="G123" s="55">
        <f>G122+G121</f>
        <v>429446.00399999996</v>
      </c>
      <c r="H123" s="52"/>
      <c r="I123" s="54"/>
      <c r="J123" s="55"/>
      <c r="K123" s="55">
        <f>K122+K121</f>
        <v>78952.584720000013</v>
      </c>
      <c r="L123" s="52"/>
      <c r="M123" s="54"/>
      <c r="N123" s="55"/>
      <c r="O123" s="55">
        <f>O122+O121</f>
        <v>67479.044640000007</v>
      </c>
      <c r="P123" s="52"/>
      <c r="Q123" s="54"/>
      <c r="R123" s="55"/>
      <c r="S123" s="55">
        <f>S122+S121</f>
        <v>140636.38932000002</v>
      </c>
      <c r="T123" s="52"/>
      <c r="U123" s="54"/>
      <c r="V123" s="55"/>
      <c r="W123" s="55">
        <f>W122+W121</f>
        <v>121187.98512000001</v>
      </c>
      <c r="X123" s="52"/>
      <c r="Y123" s="54"/>
      <c r="Z123" s="55"/>
      <c r="AA123" s="55">
        <f>AA122+AA121</f>
        <v>21190.000200000006</v>
      </c>
    </row>
    <row r="124" spans="1:27" ht="6.6" customHeight="1">
      <c r="A124" s="73"/>
      <c r="B124" s="74"/>
      <c r="C124" s="45"/>
      <c r="D124" s="46"/>
      <c r="E124" s="51"/>
      <c r="F124" s="48"/>
      <c r="G124" s="48"/>
      <c r="H124" s="46"/>
      <c r="I124" s="47"/>
      <c r="J124" s="48"/>
      <c r="K124" s="48"/>
      <c r="L124" s="49"/>
      <c r="M124" s="50"/>
      <c r="N124" s="48"/>
      <c r="O124" s="48"/>
      <c r="P124" s="49"/>
      <c r="Q124" s="50"/>
      <c r="R124" s="48"/>
      <c r="S124" s="48"/>
      <c r="T124" s="49"/>
      <c r="U124" s="50"/>
      <c r="V124" s="48"/>
      <c r="W124" s="48"/>
      <c r="X124" s="49"/>
      <c r="Y124" s="50"/>
      <c r="Z124" s="48"/>
      <c r="AA124" s="48"/>
    </row>
    <row r="127" spans="1:27">
      <c r="K127" s="207"/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AE31"/>
  <sheetViews>
    <sheetView showGridLines="0" view="pageBreakPreview" zoomScale="70" zoomScaleNormal="85" zoomScaleSheetLayoutView="70" workbookViewId="0">
      <pane ySplit="5" topLeftCell="A6" activePane="bottomLeft" state="frozen"/>
      <selection activeCell="C15" sqref="C15:I15"/>
      <selection pane="bottomLeft" activeCell="C35" sqref="C35"/>
    </sheetView>
  </sheetViews>
  <sheetFormatPr baseColWidth="10" defaultColWidth="11.44140625" defaultRowHeight="14.4"/>
  <cols>
    <col min="1" max="1" width="3.33203125" style="2" customWidth="1"/>
    <col min="2" max="2" width="2.6640625" style="3" bestFit="1" customWidth="1"/>
    <col min="3" max="3" width="55.6640625" style="24" customWidth="1"/>
    <col min="4" max="4" width="4.5546875" style="1" bestFit="1" customWidth="1"/>
    <col min="5" max="5" width="7.88671875" style="1" customWidth="1"/>
    <col min="6" max="6" width="12" style="1" bestFit="1" customWidth="1"/>
    <col min="7" max="7" width="14.5546875" style="1" bestFit="1" customWidth="1"/>
    <col min="8" max="8" width="2.6640625" style="1" customWidth="1"/>
    <col min="9" max="9" width="7.5546875" style="1" bestFit="1" customWidth="1"/>
    <col min="10" max="10" width="14.6640625" style="1" bestFit="1" customWidth="1"/>
    <col min="11" max="11" width="14.5546875" style="1" customWidth="1"/>
    <col min="12" max="12" width="2.6640625" style="1" customWidth="1"/>
    <col min="13" max="13" width="7.5546875" style="1" bestFit="1" customWidth="1"/>
    <col min="14" max="14" width="11.44140625" style="1" bestFit="1" customWidth="1"/>
    <col min="15" max="15" width="14.44140625" style="1" bestFit="1" customWidth="1"/>
    <col min="16" max="16" width="2.6640625" style="1" customWidth="1"/>
    <col min="17" max="17" width="7.5546875" style="1" bestFit="1" customWidth="1"/>
    <col min="18" max="18" width="11.44140625" style="1" bestFit="1" customWidth="1"/>
    <col min="19" max="19" width="14.44140625" style="1" bestFit="1" customWidth="1"/>
    <col min="20" max="20" width="2.6640625" style="1" customWidth="1"/>
    <col min="21" max="21" width="7.5546875" style="1" bestFit="1" customWidth="1"/>
    <col min="22" max="22" width="11.44140625" style="1" bestFit="1" customWidth="1"/>
    <col min="23" max="23" width="14.44140625" style="1" bestFit="1" customWidth="1"/>
    <col min="24" max="24" width="2.6640625" style="1" customWidth="1"/>
    <col min="25" max="25" width="7.5546875" style="1" bestFit="1" customWidth="1"/>
    <col min="26" max="26" width="11.44140625" style="1" bestFit="1" customWidth="1"/>
    <col min="27" max="27" width="14.44140625" style="1" bestFit="1" customWidth="1"/>
    <col min="28" max="28" width="14.5546875" style="1" bestFit="1" customWidth="1"/>
    <col min="29" max="29" width="12.109375" style="1" bestFit="1" customWidth="1"/>
    <col min="30" max="30" width="11.44140625" style="1"/>
    <col min="31" max="31" width="15" style="1" customWidth="1"/>
    <col min="32" max="16384" width="11.44140625" style="1"/>
  </cols>
  <sheetData>
    <row r="1" spans="1:27" ht="23.25" customHeight="1">
      <c r="A1" s="566" t="s">
        <v>1052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8"/>
    </row>
    <row r="2" spans="1:27" ht="8.4" customHeight="1">
      <c r="A2" s="15"/>
      <c r="C2" s="3"/>
      <c r="D2" s="3"/>
      <c r="E2" s="3"/>
      <c r="F2" s="3"/>
      <c r="G2" s="2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23"/>
    </row>
    <row r="3" spans="1:27" ht="19.5" customHeight="1">
      <c r="A3" s="16"/>
      <c r="C3" s="203" t="str">
        <f>'Page de garde'!C15</f>
        <v>IND 00 du 10/06/2025</v>
      </c>
      <c r="E3" s="569" t="s">
        <v>12</v>
      </c>
      <c r="F3" s="570"/>
      <c r="G3" s="571"/>
      <c r="I3" s="572" t="s">
        <v>30</v>
      </c>
      <c r="J3" s="573"/>
      <c r="K3" s="574"/>
      <c r="M3" s="572" t="s">
        <v>31</v>
      </c>
      <c r="N3" s="573"/>
      <c r="O3" s="574"/>
      <c r="Q3" s="572" t="s">
        <v>33</v>
      </c>
      <c r="R3" s="573"/>
      <c r="S3" s="574"/>
      <c r="U3" s="572" t="s">
        <v>34</v>
      </c>
      <c r="V3" s="573"/>
      <c r="W3" s="574"/>
      <c r="Y3" s="572" t="s">
        <v>35</v>
      </c>
      <c r="Z3" s="573"/>
      <c r="AA3" s="574"/>
    </row>
    <row r="4" spans="1:27" ht="19.5" customHeight="1">
      <c r="A4" s="16"/>
      <c r="E4" s="76"/>
      <c r="F4" s="77"/>
      <c r="G4" s="78" t="s">
        <v>11</v>
      </c>
      <c r="I4" s="57"/>
      <c r="J4" s="58"/>
      <c r="K4" s="59" t="s">
        <v>11</v>
      </c>
      <c r="M4" s="60"/>
      <c r="N4" s="58"/>
      <c r="O4" s="59" t="s">
        <v>11</v>
      </c>
      <c r="Q4" s="60"/>
      <c r="R4" s="58"/>
      <c r="S4" s="59" t="s">
        <v>11</v>
      </c>
      <c r="U4" s="60"/>
      <c r="V4" s="58"/>
      <c r="W4" s="59" t="s">
        <v>11</v>
      </c>
      <c r="Y4" s="60"/>
      <c r="Z4" s="58"/>
      <c r="AA4" s="59" t="s">
        <v>11</v>
      </c>
    </row>
    <row r="5" spans="1:27" s="17" customFormat="1" ht="24">
      <c r="A5" s="565" t="s">
        <v>1</v>
      </c>
      <c r="B5" s="565"/>
      <c r="C5" s="25" t="s">
        <v>2</v>
      </c>
      <c r="D5" s="18" t="s">
        <v>0</v>
      </c>
      <c r="E5" s="79" t="s">
        <v>3</v>
      </c>
      <c r="F5" s="79" t="s">
        <v>4</v>
      </c>
      <c r="G5" s="79" t="s">
        <v>5</v>
      </c>
      <c r="H5" s="18"/>
      <c r="I5" s="19" t="s">
        <v>3</v>
      </c>
      <c r="J5" s="19" t="s">
        <v>4</v>
      </c>
      <c r="K5" s="19" t="s">
        <v>5</v>
      </c>
      <c r="L5" s="20"/>
      <c r="M5" s="19" t="s">
        <v>3</v>
      </c>
      <c r="N5" s="19" t="s">
        <v>4</v>
      </c>
      <c r="O5" s="19" t="s">
        <v>5</v>
      </c>
      <c r="P5" s="20"/>
      <c r="Q5" s="19" t="s">
        <v>3</v>
      </c>
      <c r="R5" s="19" t="s">
        <v>4</v>
      </c>
      <c r="S5" s="19" t="s">
        <v>5</v>
      </c>
      <c r="T5" s="20"/>
      <c r="U5" s="19" t="s">
        <v>3</v>
      </c>
      <c r="V5" s="19" t="s">
        <v>4</v>
      </c>
      <c r="W5" s="19" t="s">
        <v>5</v>
      </c>
      <c r="X5" s="20"/>
      <c r="Y5" s="19" t="s">
        <v>3</v>
      </c>
      <c r="Z5" s="19" t="s">
        <v>4</v>
      </c>
      <c r="AA5" s="19" t="s">
        <v>5</v>
      </c>
    </row>
    <row r="6" spans="1:27">
      <c r="A6" s="61"/>
      <c r="B6" s="62" t="s">
        <v>19</v>
      </c>
      <c r="C6" s="63" t="s">
        <v>128</v>
      </c>
      <c r="D6" s="64"/>
      <c r="E6" s="366"/>
      <c r="F6" s="66"/>
      <c r="G6" s="66"/>
      <c r="H6" s="64"/>
      <c r="I6" s="366"/>
      <c r="J6" s="66"/>
      <c r="K6" s="66"/>
      <c r="L6" s="64"/>
      <c r="M6" s="366"/>
      <c r="N6" s="66"/>
      <c r="O6" s="66"/>
      <c r="P6" s="64"/>
      <c r="Q6" s="366"/>
      <c r="R6" s="66"/>
      <c r="S6" s="66"/>
      <c r="T6" s="64"/>
      <c r="U6" s="366"/>
      <c r="V6" s="66"/>
      <c r="W6" s="66"/>
      <c r="X6" s="64"/>
      <c r="Y6" s="366"/>
      <c r="Z6" s="66"/>
      <c r="AA6" s="66"/>
    </row>
    <row r="7" spans="1:27">
      <c r="A7" s="14"/>
      <c r="B7" s="31"/>
      <c r="C7" s="28" t="s">
        <v>130</v>
      </c>
      <c r="D7" s="67" t="s">
        <v>11</v>
      </c>
      <c r="E7" s="67">
        <f t="shared" ref="E7:E12" si="0">I7+M7+Q7+U7+Y7</f>
        <v>1874</v>
      </c>
      <c r="F7" s="32"/>
      <c r="G7" s="32">
        <f t="shared" ref="G7:G12" si="1">K7+O7+S7+W7+AA7</f>
        <v>16986</v>
      </c>
      <c r="H7" s="67"/>
      <c r="I7" s="67">
        <v>96</v>
      </c>
      <c r="J7" s="32">
        <v>9.5</v>
      </c>
      <c r="K7" s="32">
        <f t="shared" ref="K7:K12" si="2">I7*J7</f>
        <v>912</v>
      </c>
      <c r="L7" s="67"/>
      <c r="M7" s="67">
        <v>472</v>
      </c>
      <c r="N7" s="32">
        <v>9</v>
      </c>
      <c r="O7" s="32">
        <f t="shared" ref="O7:O12" si="3">M7*N7</f>
        <v>4248</v>
      </c>
      <c r="P7" s="67"/>
      <c r="Q7" s="67">
        <v>555</v>
      </c>
      <c r="R7" s="32">
        <v>9</v>
      </c>
      <c r="S7" s="32">
        <f t="shared" ref="S7:S12" si="4">Q7*R7</f>
        <v>4995</v>
      </c>
      <c r="T7" s="67"/>
      <c r="U7" s="67">
        <v>607</v>
      </c>
      <c r="V7" s="32">
        <v>9</v>
      </c>
      <c r="W7" s="32">
        <f t="shared" ref="W7:W12" si="5">U7*V7</f>
        <v>5463</v>
      </c>
      <c r="X7" s="67"/>
      <c r="Y7" s="67">
        <v>144</v>
      </c>
      <c r="Z7" s="32">
        <v>9.5</v>
      </c>
      <c r="AA7" s="32">
        <f>Y7*Z7</f>
        <v>1368</v>
      </c>
    </row>
    <row r="8" spans="1:27">
      <c r="A8" s="14"/>
      <c r="B8" s="31"/>
      <c r="C8" s="28" t="s">
        <v>141</v>
      </c>
      <c r="D8" s="67" t="s">
        <v>11</v>
      </c>
      <c r="E8" s="67">
        <f t="shared" si="0"/>
        <v>621</v>
      </c>
      <c r="F8" s="32"/>
      <c r="G8" s="32">
        <f t="shared" si="1"/>
        <v>21735</v>
      </c>
      <c r="H8" s="67"/>
      <c r="I8" s="67"/>
      <c r="J8" s="32">
        <f t="shared" ref="J8:J11" si="6">$F8</f>
        <v>0</v>
      </c>
      <c r="K8" s="32">
        <f t="shared" si="2"/>
        <v>0</v>
      </c>
      <c r="L8" s="67"/>
      <c r="M8" s="67">
        <v>182</v>
      </c>
      <c r="N8" s="32">
        <v>35</v>
      </c>
      <c r="O8" s="32">
        <f t="shared" si="3"/>
        <v>6370</v>
      </c>
      <c r="P8" s="67"/>
      <c r="Q8" s="67">
        <v>265</v>
      </c>
      <c r="R8" s="32">
        <v>35</v>
      </c>
      <c r="S8" s="32">
        <f t="shared" si="4"/>
        <v>9275</v>
      </c>
      <c r="T8" s="67"/>
      <c r="U8" s="67">
        <v>174</v>
      </c>
      <c r="V8" s="32">
        <v>35</v>
      </c>
      <c r="W8" s="32">
        <f t="shared" si="5"/>
        <v>6090</v>
      </c>
      <c r="X8" s="67"/>
      <c r="Y8" s="67"/>
      <c r="Z8" s="32">
        <f t="shared" ref="Z8:Z10" si="7">$F8</f>
        <v>0</v>
      </c>
      <c r="AA8" s="32">
        <f t="shared" ref="AA8:AA12" si="8">Y8*Z8</f>
        <v>0</v>
      </c>
    </row>
    <row r="9" spans="1:27">
      <c r="A9" s="14"/>
      <c r="B9" s="31"/>
      <c r="C9" s="28" t="s">
        <v>131</v>
      </c>
      <c r="D9" s="67" t="s">
        <v>11</v>
      </c>
      <c r="E9" s="67">
        <f t="shared" si="0"/>
        <v>1867</v>
      </c>
      <c r="F9" s="32"/>
      <c r="G9" s="32">
        <f t="shared" si="1"/>
        <v>70372.5</v>
      </c>
      <c r="H9" s="67"/>
      <c r="I9" s="67">
        <v>96</v>
      </c>
      <c r="J9" s="32">
        <v>39</v>
      </c>
      <c r="K9" s="32">
        <f t="shared" si="2"/>
        <v>3744</v>
      </c>
      <c r="L9" s="67"/>
      <c r="M9" s="67">
        <v>472</v>
      </c>
      <c r="N9" s="32">
        <v>37.5</v>
      </c>
      <c r="O9" s="32">
        <f t="shared" si="3"/>
        <v>17700</v>
      </c>
      <c r="P9" s="67"/>
      <c r="Q9" s="67">
        <v>555</v>
      </c>
      <c r="R9" s="32">
        <v>37.5</v>
      </c>
      <c r="S9" s="32">
        <f t="shared" si="4"/>
        <v>20812.5</v>
      </c>
      <c r="T9" s="67"/>
      <c r="U9" s="67">
        <v>600</v>
      </c>
      <c r="V9" s="32">
        <v>37.5</v>
      </c>
      <c r="W9" s="32">
        <f t="shared" si="5"/>
        <v>22500</v>
      </c>
      <c r="X9" s="67"/>
      <c r="Y9" s="67">
        <v>144</v>
      </c>
      <c r="Z9" s="32">
        <v>39</v>
      </c>
      <c r="AA9" s="32">
        <f t="shared" si="8"/>
        <v>5616</v>
      </c>
    </row>
    <row r="10" spans="1:27">
      <c r="A10" s="14"/>
      <c r="B10" s="31"/>
      <c r="C10" s="28" t="s">
        <v>132</v>
      </c>
      <c r="D10" s="67" t="s">
        <v>11</v>
      </c>
      <c r="E10" s="67">
        <f t="shared" si="0"/>
        <v>7</v>
      </c>
      <c r="F10" s="32"/>
      <c r="G10" s="32">
        <f t="shared" si="1"/>
        <v>686</v>
      </c>
      <c r="H10" s="67"/>
      <c r="I10" s="67"/>
      <c r="J10" s="32">
        <f t="shared" si="6"/>
        <v>0</v>
      </c>
      <c r="K10" s="32">
        <f t="shared" si="2"/>
        <v>0</v>
      </c>
      <c r="L10" s="67"/>
      <c r="M10" s="67"/>
      <c r="N10" s="32">
        <f t="shared" ref="N10:N11" si="9">$F10</f>
        <v>0</v>
      </c>
      <c r="O10" s="32">
        <f t="shared" si="3"/>
        <v>0</v>
      </c>
      <c r="P10" s="67"/>
      <c r="Q10" s="67"/>
      <c r="R10" s="32">
        <f t="shared" ref="R10:R11" si="10">$F10</f>
        <v>0</v>
      </c>
      <c r="S10" s="32">
        <f t="shared" si="4"/>
        <v>0</v>
      </c>
      <c r="T10" s="67"/>
      <c r="U10" s="67">
        <v>7</v>
      </c>
      <c r="V10" s="32">
        <v>98</v>
      </c>
      <c r="W10" s="32">
        <f t="shared" si="5"/>
        <v>686</v>
      </c>
      <c r="X10" s="67"/>
      <c r="Y10" s="67"/>
      <c r="Z10" s="32">
        <f t="shared" si="7"/>
        <v>0</v>
      </c>
      <c r="AA10" s="32">
        <f t="shared" si="8"/>
        <v>0</v>
      </c>
    </row>
    <row r="11" spans="1:27">
      <c r="A11" s="14"/>
      <c r="B11" s="31"/>
      <c r="C11" s="28" t="s">
        <v>794</v>
      </c>
      <c r="D11" s="67" t="s">
        <v>69</v>
      </c>
      <c r="E11" s="67">
        <f t="shared" si="0"/>
        <v>3</v>
      </c>
      <c r="F11" s="40"/>
      <c r="G11" s="32">
        <f t="shared" si="1"/>
        <v>450</v>
      </c>
      <c r="H11" s="67"/>
      <c r="I11" s="197"/>
      <c r="J11" s="32">
        <f t="shared" si="6"/>
        <v>0</v>
      </c>
      <c r="K11" s="32">
        <f t="shared" si="2"/>
        <v>0</v>
      </c>
      <c r="L11" s="67"/>
      <c r="M11" s="197"/>
      <c r="N11" s="32">
        <f t="shared" si="9"/>
        <v>0</v>
      </c>
      <c r="O11" s="32">
        <f t="shared" si="3"/>
        <v>0</v>
      </c>
      <c r="P11" s="67"/>
      <c r="Q11" s="197"/>
      <c r="R11" s="32">
        <f t="shared" si="10"/>
        <v>0</v>
      </c>
      <c r="S11" s="32">
        <f t="shared" si="4"/>
        <v>0</v>
      </c>
      <c r="T11" s="67"/>
      <c r="U11" s="197">
        <v>2</v>
      </c>
      <c r="V11" s="32">
        <v>150</v>
      </c>
      <c r="W11" s="32">
        <f t="shared" si="5"/>
        <v>300</v>
      </c>
      <c r="X11" s="67"/>
      <c r="Y11" s="197">
        <v>1</v>
      </c>
      <c r="Z11" s="32">
        <v>150</v>
      </c>
      <c r="AA11" s="32">
        <f t="shared" si="8"/>
        <v>150</v>
      </c>
    </row>
    <row r="12" spans="1:27">
      <c r="A12" s="14"/>
      <c r="B12" s="31"/>
      <c r="C12" s="28" t="s">
        <v>133</v>
      </c>
      <c r="D12" s="67" t="s">
        <v>11</v>
      </c>
      <c r="E12" s="67">
        <f t="shared" si="0"/>
        <v>1060</v>
      </c>
      <c r="F12" s="32"/>
      <c r="G12" s="32">
        <f t="shared" si="1"/>
        <v>33448</v>
      </c>
      <c r="H12" s="67"/>
      <c r="I12" s="67">
        <v>53</v>
      </c>
      <c r="J12" s="32">
        <v>38</v>
      </c>
      <c r="K12" s="32">
        <f t="shared" si="2"/>
        <v>2014</v>
      </c>
      <c r="L12" s="67"/>
      <c r="M12" s="67">
        <v>221</v>
      </c>
      <c r="N12" s="32">
        <v>31</v>
      </c>
      <c r="O12" s="32">
        <f t="shared" si="3"/>
        <v>6851</v>
      </c>
      <c r="P12" s="67"/>
      <c r="Q12" s="67">
        <v>346</v>
      </c>
      <c r="R12" s="32">
        <v>31</v>
      </c>
      <c r="S12" s="32">
        <f t="shared" si="4"/>
        <v>10726</v>
      </c>
      <c r="T12" s="67"/>
      <c r="U12" s="67">
        <v>409</v>
      </c>
      <c r="V12" s="32">
        <v>31</v>
      </c>
      <c r="W12" s="32">
        <f t="shared" si="5"/>
        <v>12679</v>
      </c>
      <c r="X12" s="67"/>
      <c r="Y12" s="67">
        <v>31</v>
      </c>
      <c r="Z12" s="32">
        <v>38</v>
      </c>
      <c r="AA12" s="32">
        <f t="shared" si="8"/>
        <v>1178</v>
      </c>
    </row>
    <row r="13" spans="1:27">
      <c r="A13" s="14"/>
      <c r="B13" s="31"/>
      <c r="C13" s="28"/>
      <c r="D13" s="67"/>
      <c r="E13" s="67"/>
      <c r="F13" s="32"/>
      <c r="G13" s="32"/>
      <c r="H13" s="67"/>
      <c r="I13" s="67"/>
      <c r="J13" s="32"/>
      <c r="K13" s="32"/>
      <c r="L13" s="67"/>
      <c r="M13" s="67"/>
      <c r="N13" s="32"/>
      <c r="O13" s="32"/>
      <c r="P13" s="67"/>
      <c r="Q13" s="67"/>
      <c r="R13" s="32"/>
      <c r="S13" s="32"/>
      <c r="T13" s="67"/>
      <c r="U13" s="67"/>
      <c r="V13" s="32"/>
      <c r="W13" s="32"/>
      <c r="X13" s="67"/>
      <c r="Y13" s="67"/>
      <c r="Z13" s="32"/>
      <c r="AA13" s="32"/>
    </row>
    <row r="14" spans="1:27">
      <c r="A14" s="35"/>
      <c r="B14" s="27"/>
      <c r="C14" s="38" t="s">
        <v>129</v>
      </c>
      <c r="D14" s="68"/>
      <c r="E14" s="369"/>
      <c r="F14" s="33" t="s">
        <v>10</v>
      </c>
      <c r="G14" s="34">
        <f>K14+O14+S14+W14+AA14</f>
        <v>143677.5</v>
      </c>
      <c r="H14" s="68"/>
      <c r="I14" s="369"/>
      <c r="J14" s="33" t="s">
        <v>10</v>
      </c>
      <c r="K14" s="34">
        <f>SUM(K6:K13)</f>
        <v>6670</v>
      </c>
      <c r="L14" s="68"/>
      <c r="M14" s="369"/>
      <c r="N14" s="33" t="s">
        <v>10</v>
      </c>
      <c r="O14" s="34">
        <f>SUM(O6:O13)</f>
        <v>35169</v>
      </c>
      <c r="P14" s="68"/>
      <c r="Q14" s="369"/>
      <c r="R14" s="33" t="s">
        <v>10</v>
      </c>
      <c r="S14" s="34">
        <f>SUM(S6:S13)</f>
        <v>45808.5</v>
      </c>
      <c r="T14" s="68"/>
      <c r="U14" s="369"/>
      <c r="V14" s="33" t="s">
        <v>10</v>
      </c>
      <c r="W14" s="34">
        <f>SUM(W6:W13)</f>
        <v>47718</v>
      </c>
      <c r="X14" s="68"/>
      <c r="Y14" s="369"/>
      <c r="Z14" s="33" t="s">
        <v>10</v>
      </c>
      <c r="AA14" s="34">
        <f>SUM(AA6:AA13)</f>
        <v>8312</v>
      </c>
    </row>
    <row r="15" spans="1:27">
      <c r="A15" s="35"/>
      <c r="B15" s="27"/>
      <c r="C15" s="36"/>
      <c r="D15" s="68"/>
      <c r="E15" s="369"/>
      <c r="F15" s="33"/>
      <c r="G15" s="34"/>
      <c r="H15" s="68"/>
      <c r="I15" s="369"/>
      <c r="J15" s="33"/>
      <c r="K15" s="34"/>
      <c r="L15" s="68"/>
      <c r="M15" s="369"/>
      <c r="N15" s="33"/>
      <c r="O15" s="34"/>
      <c r="P15" s="68"/>
      <c r="Q15" s="369"/>
      <c r="R15" s="33"/>
      <c r="S15" s="34"/>
      <c r="T15" s="68"/>
      <c r="U15" s="369"/>
      <c r="V15" s="33"/>
      <c r="W15" s="34"/>
      <c r="X15" s="68"/>
      <c r="Y15" s="369"/>
      <c r="Z15" s="33"/>
      <c r="AA15" s="34"/>
    </row>
    <row r="16" spans="1:27">
      <c r="A16" s="14"/>
      <c r="B16" s="31"/>
      <c r="C16" s="28"/>
      <c r="D16" s="67"/>
      <c r="E16" s="67"/>
      <c r="F16" s="33"/>
      <c r="G16" s="34"/>
      <c r="H16" s="67"/>
      <c r="I16" s="67"/>
      <c r="J16" s="33"/>
      <c r="K16" s="34"/>
      <c r="L16" s="67"/>
      <c r="M16" s="67"/>
      <c r="N16" s="33"/>
      <c r="O16" s="34"/>
      <c r="P16" s="67"/>
      <c r="Q16" s="67"/>
      <c r="R16" s="33"/>
      <c r="S16" s="34"/>
      <c r="T16" s="67"/>
      <c r="U16" s="67"/>
      <c r="V16" s="33"/>
      <c r="W16" s="34"/>
      <c r="X16" s="67"/>
      <c r="Y16" s="67"/>
      <c r="Z16" s="33"/>
      <c r="AA16" s="34"/>
    </row>
    <row r="17" spans="1:31">
      <c r="A17" s="61"/>
      <c r="B17" s="62" t="s">
        <v>21</v>
      </c>
      <c r="C17" s="63" t="s">
        <v>134</v>
      </c>
      <c r="D17" s="64"/>
      <c r="E17" s="366"/>
      <c r="F17" s="66"/>
      <c r="G17" s="66"/>
      <c r="H17" s="64"/>
      <c r="I17" s="366"/>
      <c r="J17" s="66"/>
      <c r="K17" s="66"/>
      <c r="L17" s="64"/>
      <c r="M17" s="366"/>
      <c r="N17" s="66"/>
      <c r="O17" s="66"/>
      <c r="P17" s="64"/>
      <c r="Q17" s="366"/>
      <c r="R17" s="66"/>
      <c r="S17" s="66"/>
      <c r="T17" s="64"/>
      <c r="U17" s="366"/>
      <c r="V17" s="66"/>
      <c r="W17" s="66"/>
      <c r="X17" s="64"/>
      <c r="Y17" s="366"/>
      <c r="Z17" s="66"/>
      <c r="AA17" s="66"/>
    </row>
    <row r="18" spans="1:31">
      <c r="A18" s="14"/>
      <c r="B18" s="31"/>
      <c r="C18" s="28" t="s">
        <v>136</v>
      </c>
      <c r="D18" s="67" t="s">
        <v>69</v>
      </c>
      <c r="E18" s="67">
        <f>I18+M18+Q18+U18+Y18</f>
        <v>32</v>
      </c>
      <c r="F18" s="40"/>
      <c r="G18" s="32">
        <f>K18+O18+S18+W18+AA18</f>
        <v>624</v>
      </c>
      <c r="H18" s="67"/>
      <c r="I18" s="197">
        <v>5</v>
      </c>
      <c r="J18" s="32">
        <v>19.5</v>
      </c>
      <c r="K18" s="32">
        <f t="shared" ref="K18:K19" si="11">I18*J18</f>
        <v>97.5</v>
      </c>
      <c r="L18" s="67"/>
      <c r="M18" s="197">
        <v>10</v>
      </c>
      <c r="N18" s="32">
        <v>19.5</v>
      </c>
      <c r="O18" s="32">
        <f t="shared" ref="O18:O19" si="12">M18*N18</f>
        <v>195</v>
      </c>
      <c r="P18" s="67"/>
      <c r="Q18" s="197">
        <v>6</v>
      </c>
      <c r="R18" s="32">
        <v>19.5</v>
      </c>
      <c r="S18" s="32">
        <f t="shared" ref="S18:S19" si="13">Q18*R18</f>
        <v>117</v>
      </c>
      <c r="T18" s="67"/>
      <c r="U18" s="197">
        <v>5</v>
      </c>
      <c r="V18" s="32">
        <v>19.5</v>
      </c>
      <c r="W18" s="32">
        <f t="shared" ref="W18:W19" si="14">U18*V18</f>
        <v>97.5</v>
      </c>
      <c r="X18" s="67"/>
      <c r="Y18" s="197">
        <v>6</v>
      </c>
      <c r="Z18" s="32">
        <v>19.5</v>
      </c>
      <c r="AA18" s="32">
        <f t="shared" ref="AA18:AA19" si="15">Y18*Z18</f>
        <v>117</v>
      </c>
      <c r="AC18" s="22"/>
      <c r="AD18" s="22"/>
      <c r="AE18" s="22"/>
    </row>
    <row r="19" spans="1:31">
      <c r="A19" s="14"/>
      <c r="B19" s="31"/>
      <c r="C19" s="28" t="s">
        <v>137</v>
      </c>
      <c r="D19" s="67" t="s">
        <v>70</v>
      </c>
      <c r="E19" s="67">
        <f>I19+M19+Q19+U19+Y19</f>
        <v>100</v>
      </c>
      <c r="F19" s="40"/>
      <c r="G19" s="32">
        <f>K19+O19+S19+W19+AA19</f>
        <v>2730</v>
      </c>
      <c r="H19" s="67"/>
      <c r="I19" s="197">
        <v>10</v>
      </c>
      <c r="J19" s="32">
        <v>27.3</v>
      </c>
      <c r="K19" s="32">
        <f t="shared" si="11"/>
        <v>273</v>
      </c>
      <c r="L19" s="67"/>
      <c r="M19" s="197">
        <v>20</v>
      </c>
      <c r="N19" s="32">
        <v>27.3</v>
      </c>
      <c r="O19" s="32">
        <f t="shared" si="12"/>
        <v>546</v>
      </c>
      <c r="P19" s="67"/>
      <c r="Q19" s="197">
        <v>40</v>
      </c>
      <c r="R19" s="32">
        <v>27.3</v>
      </c>
      <c r="S19" s="32">
        <f t="shared" si="13"/>
        <v>1092</v>
      </c>
      <c r="T19" s="67"/>
      <c r="U19" s="197">
        <v>20</v>
      </c>
      <c r="V19" s="32">
        <v>27.3</v>
      </c>
      <c r="W19" s="32">
        <f t="shared" si="14"/>
        <v>546</v>
      </c>
      <c r="X19" s="67"/>
      <c r="Y19" s="197">
        <v>10</v>
      </c>
      <c r="Z19" s="32">
        <v>27.3</v>
      </c>
      <c r="AA19" s="32">
        <f t="shared" si="15"/>
        <v>273</v>
      </c>
      <c r="AC19" s="22"/>
      <c r="AD19" s="22"/>
      <c r="AE19" s="22"/>
    </row>
    <row r="20" spans="1:31">
      <c r="A20" s="14"/>
      <c r="B20" s="31"/>
      <c r="C20" s="28"/>
      <c r="D20" s="67"/>
      <c r="E20" s="67"/>
      <c r="F20" s="32"/>
      <c r="G20" s="32"/>
      <c r="H20" s="67"/>
      <c r="I20" s="67"/>
      <c r="J20" s="32"/>
      <c r="K20" s="32"/>
      <c r="L20" s="67"/>
      <c r="M20" s="67"/>
      <c r="N20" s="32"/>
      <c r="O20" s="32"/>
      <c r="P20" s="67"/>
      <c r="Q20" s="67"/>
      <c r="R20" s="32"/>
      <c r="S20" s="32"/>
      <c r="T20" s="67"/>
      <c r="U20" s="67"/>
      <c r="V20" s="32"/>
      <c r="W20" s="32"/>
      <c r="X20" s="67"/>
      <c r="Y20" s="67"/>
      <c r="Z20" s="32"/>
      <c r="AA20" s="32"/>
      <c r="AC20" s="22"/>
      <c r="AD20" s="22"/>
      <c r="AE20" s="22"/>
    </row>
    <row r="21" spans="1:31">
      <c r="A21" s="35"/>
      <c r="B21" s="27"/>
      <c r="C21" s="38" t="s">
        <v>135</v>
      </c>
      <c r="D21" s="68"/>
      <c r="E21" s="369"/>
      <c r="F21" s="33" t="s">
        <v>10</v>
      </c>
      <c r="G21" s="34">
        <f>K21+O21+S21+W21+AA21</f>
        <v>3354</v>
      </c>
      <c r="H21" s="68"/>
      <c r="I21" s="369"/>
      <c r="J21" s="33" t="s">
        <v>10</v>
      </c>
      <c r="K21" s="34">
        <f>SUM(K17:K20)</f>
        <v>370.5</v>
      </c>
      <c r="L21" s="68"/>
      <c r="M21" s="369"/>
      <c r="N21" s="33" t="s">
        <v>10</v>
      </c>
      <c r="O21" s="34">
        <f>SUM(O17:O20)</f>
        <v>741</v>
      </c>
      <c r="P21" s="68"/>
      <c r="Q21" s="369"/>
      <c r="R21" s="33" t="s">
        <v>10</v>
      </c>
      <c r="S21" s="34">
        <f>SUM(S17:S20)</f>
        <v>1209</v>
      </c>
      <c r="T21" s="68"/>
      <c r="U21" s="369"/>
      <c r="V21" s="33" t="s">
        <v>10</v>
      </c>
      <c r="W21" s="34">
        <f>SUM(W17:W20)</f>
        <v>643.5</v>
      </c>
      <c r="X21" s="68"/>
      <c r="Y21" s="369"/>
      <c r="Z21" s="33" t="s">
        <v>10</v>
      </c>
      <c r="AA21" s="34">
        <f>SUM(AA17:AA20)</f>
        <v>390</v>
      </c>
    </row>
    <row r="22" spans="1:31">
      <c r="A22" s="35"/>
      <c r="B22" s="27"/>
      <c r="C22" s="36"/>
      <c r="D22" s="68"/>
      <c r="E22" s="369"/>
      <c r="F22" s="33"/>
      <c r="G22" s="34"/>
      <c r="H22" s="68"/>
      <c r="I22" s="369"/>
      <c r="J22" s="33"/>
      <c r="K22" s="34"/>
      <c r="L22" s="68"/>
      <c r="M22" s="369"/>
      <c r="N22" s="33"/>
      <c r="O22" s="34"/>
      <c r="P22" s="68"/>
      <c r="Q22" s="369"/>
      <c r="R22" s="33"/>
      <c r="S22" s="34"/>
      <c r="T22" s="68"/>
      <c r="U22" s="369"/>
      <c r="V22" s="33"/>
      <c r="W22" s="34"/>
      <c r="X22" s="68"/>
      <c r="Y22" s="369"/>
      <c r="Z22" s="33"/>
      <c r="AA22" s="34"/>
    </row>
    <row r="23" spans="1:31">
      <c r="A23" s="35"/>
      <c r="B23" s="27"/>
      <c r="C23" s="36"/>
      <c r="D23" s="68"/>
      <c r="E23" s="369"/>
      <c r="F23" s="33"/>
      <c r="G23" s="34"/>
      <c r="H23" s="68"/>
      <c r="I23" s="369"/>
      <c r="J23" s="33"/>
      <c r="K23" s="34"/>
      <c r="L23" s="68"/>
      <c r="M23" s="369"/>
      <c r="N23" s="33"/>
      <c r="O23" s="34"/>
      <c r="P23" s="68"/>
      <c r="Q23" s="369"/>
      <c r="R23" s="33"/>
      <c r="S23" s="34"/>
      <c r="T23" s="68"/>
      <c r="U23" s="369"/>
      <c r="V23" s="33"/>
      <c r="W23" s="34"/>
      <c r="X23" s="68"/>
      <c r="Y23" s="369"/>
      <c r="Z23" s="33"/>
      <c r="AA23" s="34"/>
    </row>
    <row r="24" spans="1:31">
      <c r="A24" s="35"/>
      <c r="B24" s="27"/>
      <c r="C24" s="446" t="s">
        <v>1051</v>
      </c>
      <c r="D24" s="451" t="s">
        <v>6</v>
      </c>
      <c r="E24" s="452">
        <v>1</v>
      </c>
      <c r="F24" s="453">
        <f>143241.5-147031.5</f>
        <v>-3790</v>
      </c>
      <c r="G24" s="427">
        <f>F24*E24</f>
        <v>-3790</v>
      </c>
      <c r="H24" s="454"/>
      <c r="I24" s="455">
        <v>0.05</v>
      </c>
      <c r="J24" s="453">
        <f>G24</f>
        <v>-3790</v>
      </c>
      <c r="K24" s="427">
        <f>I24*J24</f>
        <v>-189.5</v>
      </c>
      <c r="L24" s="454"/>
      <c r="M24" s="455">
        <v>0.24</v>
      </c>
      <c r="N24" s="453">
        <f>G24</f>
        <v>-3790</v>
      </c>
      <c r="O24" s="427">
        <f>M24*N24</f>
        <v>-909.6</v>
      </c>
      <c r="P24" s="454"/>
      <c r="Q24" s="455">
        <v>0.32</v>
      </c>
      <c r="R24" s="456">
        <f>G24</f>
        <v>-3790</v>
      </c>
      <c r="S24" s="427">
        <f>Q24*R24</f>
        <v>-1212.8</v>
      </c>
      <c r="T24" s="454"/>
      <c r="U24" s="455">
        <v>0.33</v>
      </c>
      <c r="V24" s="456">
        <f>G24</f>
        <v>-3790</v>
      </c>
      <c r="W24" s="427">
        <f>U24*V24</f>
        <v>-1250.7</v>
      </c>
      <c r="X24" s="454"/>
      <c r="Y24" s="455">
        <v>0.06</v>
      </c>
      <c r="Z24" s="456">
        <f>G24</f>
        <v>-3790</v>
      </c>
      <c r="AA24" s="427">
        <f>Y24*Z24</f>
        <v>-227.4</v>
      </c>
    </row>
    <row r="25" spans="1:31">
      <c r="A25" s="35"/>
      <c r="B25" s="27"/>
      <c r="C25" s="36"/>
      <c r="D25" s="68"/>
      <c r="E25" s="369"/>
      <c r="F25" s="33"/>
      <c r="G25" s="34"/>
      <c r="H25" s="68"/>
      <c r="I25" s="369"/>
      <c r="J25" s="33"/>
      <c r="K25" s="34"/>
      <c r="L25" s="68"/>
      <c r="M25" s="369"/>
      <c r="N25" s="33"/>
      <c r="O25" s="34"/>
      <c r="P25" s="68"/>
      <c r="Q25" s="369"/>
      <c r="R25" s="33"/>
      <c r="S25" s="34"/>
      <c r="T25" s="68"/>
      <c r="U25" s="369"/>
      <c r="V25" s="33"/>
      <c r="W25" s="34"/>
      <c r="X25" s="68"/>
      <c r="Y25" s="369"/>
      <c r="Z25" s="33"/>
      <c r="AA25" s="34"/>
    </row>
    <row r="26" spans="1:31">
      <c r="A26" s="14"/>
      <c r="B26" s="31"/>
      <c r="C26" s="38"/>
      <c r="D26" s="69"/>
      <c r="E26" s="37"/>
      <c r="F26" s="30"/>
      <c r="G26" s="34"/>
      <c r="H26" s="69"/>
      <c r="I26" s="37"/>
      <c r="J26" s="30"/>
      <c r="K26" s="34"/>
      <c r="M26" s="37"/>
      <c r="N26" s="30"/>
      <c r="O26" s="34"/>
      <c r="Q26" s="37"/>
      <c r="R26" s="30"/>
      <c r="S26" s="34"/>
      <c r="U26" s="37"/>
      <c r="V26" s="30"/>
      <c r="W26" s="34"/>
      <c r="Y26" s="37"/>
      <c r="Z26" s="30"/>
      <c r="AA26" s="34"/>
    </row>
    <row r="27" spans="1:31" ht="6" customHeight="1">
      <c r="A27" s="70"/>
      <c r="B27" s="41"/>
      <c r="C27" s="42"/>
      <c r="D27" s="41"/>
      <c r="E27" s="41"/>
      <c r="F27" s="44"/>
      <c r="G27" s="44"/>
      <c r="H27" s="41"/>
      <c r="I27" s="43"/>
      <c r="J27" s="44"/>
      <c r="K27" s="44"/>
      <c r="L27" s="41"/>
      <c r="M27" s="43"/>
      <c r="N27" s="44"/>
      <c r="O27" s="44"/>
      <c r="P27" s="41"/>
      <c r="Q27" s="43"/>
      <c r="R27" s="44"/>
      <c r="S27" s="44"/>
      <c r="T27" s="41"/>
      <c r="U27" s="43"/>
      <c r="V27" s="44"/>
      <c r="W27" s="44"/>
      <c r="X27" s="41"/>
      <c r="Y27" s="43"/>
      <c r="Z27" s="44"/>
      <c r="AA27" s="44"/>
    </row>
    <row r="28" spans="1:31" s="56" customFormat="1">
      <c r="A28" s="71"/>
      <c r="B28" s="72"/>
      <c r="C28" s="53" t="s">
        <v>7</v>
      </c>
      <c r="D28" s="52"/>
      <c r="E28" s="52"/>
      <c r="F28" s="55"/>
      <c r="G28" s="55">
        <f>G21+G14+G24</f>
        <v>143241.5</v>
      </c>
      <c r="H28" s="52"/>
      <c r="I28" s="54"/>
      <c r="J28" s="55"/>
      <c r="K28" s="55">
        <f>K21+K14+K24</f>
        <v>6851</v>
      </c>
      <c r="L28" s="52"/>
      <c r="M28" s="54"/>
      <c r="N28" s="55"/>
      <c r="O28" s="55">
        <f>O21+O14+O24</f>
        <v>35000.400000000001</v>
      </c>
      <c r="P28" s="52"/>
      <c r="Q28" s="54"/>
      <c r="R28" s="55"/>
      <c r="S28" s="55">
        <f>S21+S14+S24</f>
        <v>45804.7</v>
      </c>
      <c r="T28" s="52"/>
      <c r="U28" s="54"/>
      <c r="V28" s="55"/>
      <c r="W28" s="55">
        <f>W21+W14+W24</f>
        <v>47110.8</v>
      </c>
      <c r="X28" s="52"/>
      <c r="Y28" s="54"/>
      <c r="Z28" s="55"/>
      <c r="AA28" s="55">
        <f>AA21+AA14+AA24</f>
        <v>8474.6</v>
      </c>
    </row>
    <row r="29" spans="1:31" s="56" customFormat="1">
      <c r="A29" s="71"/>
      <c r="B29" s="72"/>
      <c r="C29" s="53" t="s">
        <v>8</v>
      </c>
      <c r="D29" s="52"/>
      <c r="E29" s="52"/>
      <c r="F29" s="55"/>
      <c r="G29" s="55">
        <f>G28*0.2</f>
        <v>28648.300000000003</v>
      </c>
      <c r="H29" s="52"/>
      <c r="I29" s="54"/>
      <c r="J29" s="55"/>
      <c r="K29" s="55">
        <f>K28*0.2</f>
        <v>1370.2</v>
      </c>
      <c r="L29" s="52"/>
      <c r="M29" s="54"/>
      <c r="N29" s="55"/>
      <c r="O29" s="55">
        <f>O28*0.2</f>
        <v>7000.0800000000008</v>
      </c>
      <c r="P29" s="52"/>
      <c r="Q29" s="54"/>
      <c r="R29" s="55"/>
      <c r="S29" s="55">
        <f>S28*0.2</f>
        <v>9160.94</v>
      </c>
      <c r="T29" s="52"/>
      <c r="U29" s="54"/>
      <c r="V29" s="55"/>
      <c r="W29" s="55">
        <f>W28*0.2</f>
        <v>9422.1600000000017</v>
      </c>
      <c r="X29" s="52"/>
      <c r="Y29" s="54"/>
      <c r="Z29" s="55"/>
      <c r="AA29" s="55">
        <f>AA28*0.2</f>
        <v>1694.92</v>
      </c>
    </row>
    <row r="30" spans="1:31" s="56" customFormat="1">
      <c r="A30" s="71"/>
      <c r="B30" s="72"/>
      <c r="C30" s="53" t="s">
        <v>9</v>
      </c>
      <c r="D30" s="52"/>
      <c r="E30" s="52"/>
      <c r="F30" s="55"/>
      <c r="G30" s="55">
        <f>G29+G28</f>
        <v>171889.8</v>
      </c>
      <c r="H30" s="52"/>
      <c r="I30" s="54"/>
      <c r="J30" s="55"/>
      <c r="K30" s="55">
        <f>K29+K28</f>
        <v>8221.2000000000007</v>
      </c>
      <c r="L30" s="52"/>
      <c r="M30" s="54"/>
      <c r="N30" s="55"/>
      <c r="O30" s="55">
        <f>O29+O28</f>
        <v>42000.480000000003</v>
      </c>
      <c r="P30" s="52"/>
      <c r="Q30" s="54"/>
      <c r="R30" s="55"/>
      <c r="S30" s="55">
        <f>S29+S28</f>
        <v>54965.64</v>
      </c>
      <c r="T30" s="52"/>
      <c r="U30" s="54"/>
      <c r="V30" s="55"/>
      <c r="W30" s="55">
        <f>W29+W28</f>
        <v>56532.960000000006</v>
      </c>
      <c r="X30" s="52"/>
      <c r="Y30" s="54"/>
      <c r="Z30" s="55"/>
      <c r="AA30" s="55">
        <f>AA29+AA28</f>
        <v>10169.52</v>
      </c>
    </row>
    <row r="31" spans="1:31" ht="6.6" customHeight="1">
      <c r="A31" s="73"/>
      <c r="B31" s="74"/>
      <c r="C31" s="45"/>
      <c r="D31" s="46"/>
      <c r="E31" s="51"/>
      <c r="F31" s="48"/>
      <c r="G31" s="48"/>
      <c r="H31" s="46"/>
      <c r="I31" s="47"/>
      <c r="J31" s="48"/>
      <c r="K31" s="48"/>
      <c r="L31" s="49"/>
      <c r="M31" s="50"/>
      <c r="N31" s="48"/>
      <c r="O31" s="48"/>
      <c r="P31" s="49"/>
      <c r="Q31" s="50"/>
      <c r="R31" s="48"/>
      <c r="S31" s="48"/>
      <c r="T31" s="49"/>
      <c r="U31" s="50"/>
      <c r="V31" s="48"/>
      <c r="W31" s="48"/>
      <c r="X31" s="49"/>
      <c r="Y31" s="50"/>
      <c r="Z31" s="48"/>
      <c r="AA31" s="48"/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AB30"/>
  <sheetViews>
    <sheetView showGridLines="0" view="pageBreakPreview" topLeftCell="B1" zoomScale="70" zoomScaleNormal="85" zoomScaleSheetLayoutView="70" workbookViewId="0">
      <pane ySplit="5" topLeftCell="A6" activePane="bottomLeft" state="frozen"/>
      <selection activeCell="C15" sqref="C15:I15"/>
      <selection pane="bottomLeft" activeCell="E17" sqref="E17"/>
    </sheetView>
  </sheetViews>
  <sheetFormatPr baseColWidth="10" defaultColWidth="11.44140625" defaultRowHeight="14.4"/>
  <cols>
    <col min="1" max="1" width="3.33203125" style="2" customWidth="1"/>
    <col min="2" max="2" width="2.6640625" style="3" bestFit="1" customWidth="1"/>
    <col min="3" max="3" width="55.6640625" style="24" customWidth="1"/>
    <col min="4" max="4" width="4.5546875" style="1" bestFit="1" customWidth="1"/>
    <col min="5" max="5" width="7.88671875" style="1" customWidth="1"/>
    <col min="6" max="6" width="12" style="1" bestFit="1" customWidth="1"/>
    <col min="7" max="7" width="14.5546875" style="1" bestFit="1" customWidth="1"/>
    <col min="8" max="8" width="2.6640625" style="1" customWidth="1"/>
    <col min="9" max="9" width="7.5546875" style="1" bestFit="1" customWidth="1"/>
    <col min="10" max="10" width="14.6640625" style="1" bestFit="1" customWidth="1"/>
    <col min="11" max="11" width="14.5546875" style="1" customWidth="1"/>
    <col min="12" max="12" width="2.6640625" style="1" customWidth="1"/>
    <col min="13" max="13" width="7.5546875" style="1" bestFit="1" customWidth="1"/>
    <col min="14" max="14" width="11.44140625" style="1" bestFit="1" customWidth="1"/>
    <col min="15" max="15" width="14.44140625" style="1" bestFit="1" customWidth="1"/>
    <col min="16" max="16" width="2.6640625" style="1" customWidth="1"/>
    <col min="17" max="17" width="7.5546875" style="1" bestFit="1" customWidth="1"/>
    <col min="18" max="18" width="11.44140625" style="1" bestFit="1" customWidth="1"/>
    <col min="19" max="19" width="14.44140625" style="1" bestFit="1" customWidth="1"/>
    <col min="20" max="20" width="2.6640625" style="1" customWidth="1"/>
    <col min="21" max="21" width="7.5546875" style="1" bestFit="1" customWidth="1"/>
    <col min="22" max="22" width="11.44140625" style="1" bestFit="1" customWidth="1"/>
    <col min="23" max="23" width="14.44140625" style="1" bestFit="1" customWidth="1"/>
    <col min="24" max="24" width="2.6640625" style="1" customWidth="1"/>
    <col min="25" max="25" width="7.5546875" style="1" bestFit="1" customWidth="1"/>
    <col min="26" max="26" width="11.44140625" style="1" bestFit="1" customWidth="1"/>
    <col min="27" max="27" width="14.44140625" style="1" bestFit="1" customWidth="1"/>
    <col min="28" max="28" width="14.5546875" style="1" bestFit="1" customWidth="1"/>
    <col min="29" max="29" width="12.109375" style="1" bestFit="1" customWidth="1"/>
    <col min="30" max="30" width="11.44140625" style="1"/>
    <col min="31" max="31" width="15" style="1" customWidth="1"/>
    <col min="32" max="16384" width="11.44140625" style="1"/>
  </cols>
  <sheetData>
    <row r="1" spans="1:28" ht="23.25" customHeight="1">
      <c r="A1" s="566" t="s">
        <v>394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8"/>
    </row>
    <row r="2" spans="1:28" ht="8.4" customHeight="1">
      <c r="A2" s="15"/>
      <c r="C2" s="3"/>
      <c r="D2" s="3"/>
      <c r="E2" s="3"/>
      <c r="F2" s="3"/>
      <c r="G2" s="2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23"/>
    </row>
    <row r="3" spans="1:28" ht="19.5" customHeight="1">
      <c r="A3" s="16"/>
      <c r="C3" s="203" t="str">
        <f>'Page de garde'!C15</f>
        <v>IND 00 du 10/06/2025</v>
      </c>
      <c r="E3" s="569" t="s">
        <v>12</v>
      </c>
      <c r="F3" s="570"/>
      <c r="G3" s="571"/>
      <c r="I3" s="572" t="s">
        <v>30</v>
      </c>
      <c r="J3" s="573"/>
      <c r="K3" s="574"/>
      <c r="M3" s="572" t="s">
        <v>31</v>
      </c>
      <c r="N3" s="573"/>
      <c r="O3" s="574"/>
      <c r="Q3" s="572" t="s">
        <v>33</v>
      </c>
      <c r="R3" s="573"/>
      <c r="S3" s="574"/>
      <c r="U3" s="572" t="s">
        <v>34</v>
      </c>
      <c r="V3" s="573"/>
      <c r="W3" s="574"/>
      <c r="Y3" s="572" t="s">
        <v>35</v>
      </c>
      <c r="Z3" s="573"/>
      <c r="AA3" s="574"/>
    </row>
    <row r="4" spans="1:28" ht="19.5" customHeight="1">
      <c r="A4" s="16"/>
      <c r="E4" s="76"/>
      <c r="F4" s="77"/>
      <c r="G4" s="78" t="s">
        <v>11</v>
      </c>
      <c r="I4" s="57"/>
      <c r="J4" s="58"/>
      <c r="K4" s="59" t="s">
        <v>11</v>
      </c>
      <c r="M4" s="60"/>
      <c r="N4" s="58"/>
      <c r="O4" s="59" t="s">
        <v>11</v>
      </c>
      <c r="Q4" s="60"/>
      <c r="R4" s="58"/>
      <c r="S4" s="59" t="s">
        <v>11</v>
      </c>
      <c r="U4" s="60"/>
      <c r="V4" s="58"/>
      <c r="W4" s="59" t="s">
        <v>11</v>
      </c>
      <c r="Y4" s="60"/>
      <c r="Z4" s="58"/>
      <c r="AA4" s="59" t="s">
        <v>11</v>
      </c>
    </row>
    <row r="5" spans="1:28" s="17" customFormat="1" ht="24">
      <c r="A5" s="565" t="s">
        <v>1</v>
      </c>
      <c r="B5" s="565"/>
      <c r="C5" s="25" t="s">
        <v>2</v>
      </c>
      <c r="D5" s="18" t="s">
        <v>0</v>
      </c>
      <c r="E5" s="79" t="s">
        <v>3</v>
      </c>
      <c r="F5" s="79" t="s">
        <v>4</v>
      </c>
      <c r="G5" s="79" t="s">
        <v>5</v>
      </c>
      <c r="H5" s="18"/>
      <c r="I5" s="19" t="s">
        <v>3</v>
      </c>
      <c r="J5" s="19" t="s">
        <v>4</v>
      </c>
      <c r="K5" s="19" t="s">
        <v>5</v>
      </c>
      <c r="L5" s="20"/>
      <c r="M5" s="19" t="s">
        <v>3</v>
      </c>
      <c r="N5" s="19" t="s">
        <v>4</v>
      </c>
      <c r="O5" s="19" t="s">
        <v>5</v>
      </c>
      <c r="P5" s="20"/>
      <c r="Q5" s="19" t="s">
        <v>3</v>
      </c>
      <c r="R5" s="19" t="s">
        <v>4</v>
      </c>
      <c r="S5" s="19" t="s">
        <v>5</v>
      </c>
      <c r="T5" s="20"/>
      <c r="U5" s="19" t="s">
        <v>3</v>
      </c>
      <c r="V5" s="19" t="s">
        <v>4</v>
      </c>
      <c r="W5" s="19" t="s">
        <v>5</v>
      </c>
      <c r="X5" s="20"/>
      <c r="Y5" s="19" t="s">
        <v>3</v>
      </c>
      <c r="Z5" s="19" t="s">
        <v>4</v>
      </c>
      <c r="AA5" s="19" t="s">
        <v>5</v>
      </c>
    </row>
    <row r="6" spans="1:28">
      <c r="A6" s="61"/>
      <c r="B6" s="62" t="s">
        <v>19</v>
      </c>
      <c r="C6" s="63" t="s">
        <v>119</v>
      </c>
      <c r="D6" s="64"/>
      <c r="E6" s="65"/>
      <c r="F6" s="66"/>
      <c r="G6" s="66"/>
      <c r="H6" s="64"/>
      <c r="I6" s="65"/>
      <c r="J6" s="66"/>
      <c r="K6" s="66"/>
      <c r="L6" s="26"/>
      <c r="M6" s="65"/>
      <c r="N6" s="66"/>
      <c r="O6" s="66"/>
      <c r="P6" s="26"/>
      <c r="Q6" s="65"/>
      <c r="R6" s="66"/>
      <c r="S6" s="66"/>
      <c r="T6" s="26"/>
      <c r="U6" s="65"/>
      <c r="V6" s="66"/>
      <c r="W6" s="66"/>
      <c r="X6" s="26"/>
      <c r="Y6" s="65"/>
      <c r="Z6" s="66"/>
      <c r="AA6" s="66"/>
    </row>
    <row r="7" spans="1:28">
      <c r="A7" s="14"/>
      <c r="B7" s="31"/>
      <c r="C7" s="28" t="s">
        <v>120</v>
      </c>
      <c r="D7" s="67" t="s">
        <v>69</v>
      </c>
      <c r="E7" s="29">
        <f>I7+M7+Q7+U7+Y7</f>
        <v>2</v>
      </c>
      <c r="F7" s="32">
        <v>17756</v>
      </c>
      <c r="G7" s="32">
        <f>K7+O7+S7+W7+AA7</f>
        <v>35512</v>
      </c>
      <c r="H7" s="67"/>
      <c r="I7" s="29">
        <v>0</v>
      </c>
      <c r="J7" s="32">
        <f>F7</f>
        <v>17756</v>
      </c>
      <c r="K7" s="32">
        <f>I7*J7</f>
        <v>0</v>
      </c>
      <c r="M7" s="29">
        <v>2</v>
      </c>
      <c r="N7" s="32">
        <f>F7</f>
        <v>17756</v>
      </c>
      <c r="O7" s="32">
        <f>M7*N7</f>
        <v>35512</v>
      </c>
      <c r="Q7" s="29">
        <v>0</v>
      </c>
      <c r="R7" s="32">
        <f>F7</f>
        <v>17756</v>
      </c>
      <c r="S7" s="32">
        <f>Q7*R7</f>
        <v>0</v>
      </c>
      <c r="U7" s="29">
        <v>0</v>
      </c>
      <c r="V7" s="32">
        <f>F7</f>
        <v>17756</v>
      </c>
      <c r="W7" s="32">
        <f>U7*V7</f>
        <v>0</v>
      </c>
      <c r="Y7" s="29">
        <v>0</v>
      </c>
      <c r="Z7" s="32">
        <f>F7</f>
        <v>17756</v>
      </c>
      <c r="AA7" s="32">
        <f>Y7*Z7</f>
        <v>0</v>
      </c>
    </row>
    <row r="8" spans="1:28">
      <c r="A8" s="14"/>
      <c r="B8" s="31"/>
      <c r="C8" s="28"/>
      <c r="D8" s="67"/>
      <c r="E8" s="29"/>
      <c r="F8" s="32"/>
      <c r="G8" s="32"/>
      <c r="H8" s="67"/>
      <c r="I8" s="29"/>
      <c r="J8" s="32"/>
      <c r="K8" s="32"/>
      <c r="M8" s="29"/>
      <c r="N8" s="32"/>
      <c r="O8" s="32"/>
      <c r="Q8" s="29"/>
      <c r="R8" s="32"/>
      <c r="S8" s="32"/>
      <c r="U8" s="29"/>
      <c r="V8" s="32"/>
      <c r="W8" s="32"/>
      <c r="Y8" s="29"/>
      <c r="Z8" s="32"/>
      <c r="AA8" s="32"/>
    </row>
    <row r="9" spans="1:28">
      <c r="A9" s="35"/>
      <c r="B9" s="27"/>
      <c r="C9" s="38" t="s">
        <v>122</v>
      </c>
      <c r="D9" s="68"/>
      <c r="E9" s="37"/>
      <c r="F9" s="33" t="s">
        <v>10</v>
      </c>
      <c r="G9" s="34">
        <f>K9+O9+S9+W9+AA9</f>
        <v>35512</v>
      </c>
      <c r="H9" s="68"/>
      <c r="I9" s="37"/>
      <c r="J9" s="33" t="s">
        <v>10</v>
      </c>
      <c r="K9" s="34">
        <f>SUM(K6:K8)</f>
        <v>0</v>
      </c>
      <c r="M9" s="37"/>
      <c r="N9" s="33" t="s">
        <v>10</v>
      </c>
      <c r="O9" s="34">
        <f>SUM(O6:O8)</f>
        <v>35512</v>
      </c>
      <c r="Q9" s="37"/>
      <c r="R9" s="33" t="s">
        <v>10</v>
      </c>
      <c r="S9" s="34">
        <f>SUM(S6:S8)</f>
        <v>0</v>
      </c>
      <c r="U9" s="37"/>
      <c r="V9" s="33" t="s">
        <v>10</v>
      </c>
      <c r="W9" s="34">
        <f>SUM(W6:W8)</f>
        <v>0</v>
      </c>
      <c r="Y9" s="37"/>
      <c r="Z9" s="33" t="s">
        <v>10</v>
      </c>
      <c r="AA9" s="34">
        <f>SUM(AA6:AA8)</f>
        <v>0</v>
      </c>
    </row>
    <row r="10" spans="1:28">
      <c r="A10" s="35"/>
      <c r="B10" s="27"/>
      <c r="C10" s="36"/>
      <c r="D10" s="68"/>
      <c r="E10" s="37"/>
      <c r="F10" s="33"/>
      <c r="G10" s="34"/>
      <c r="H10" s="68"/>
      <c r="I10" s="37"/>
      <c r="J10" s="33"/>
      <c r="K10" s="34"/>
      <c r="M10" s="37"/>
      <c r="N10" s="33"/>
      <c r="O10" s="34"/>
      <c r="Q10" s="37"/>
      <c r="R10" s="33"/>
      <c r="S10" s="34"/>
      <c r="U10" s="37"/>
      <c r="V10" s="33"/>
      <c r="W10" s="34"/>
      <c r="Y10" s="37"/>
      <c r="Z10" s="33"/>
      <c r="AA10" s="34"/>
    </row>
    <row r="11" spans="1:28">
      <c r="A11" s="14"/>
      <c r="B11" s="31"/>
      <c r="C11" s="28"/>
      <c r="D11" s="67"/>
      <c r="E11" s="29"/>
      <c r="F11" s="33"/>
      <c r="G11" s="34"/>
      <c r="H11" s="67"/>
      <c r="I11" s="29"/>
      <c r="J11" s="33"/>
      <c r="K11" s="34"/>
      <c r="M11" s="29"/>
      <c r="N11" s="33"/>
      <c r="O11" s="34"/>
      <c r="Q11" s="29"/>
      <c r="R11" s="33"/>
      <c r="S11" s="34"/>
      <c r="U11" s="29"/>
      <c r="V11" s="33"/>
      <c r="W11" s="34"/>
      <c r="Y11" s="29"/>
      <c r="Z11" s="33"/>
      <c r="AA11" s="34"/>
    </row>
    <row r="12" spans="1:28">
      <c r="A12" s="61"/>
      <c r="B12" s="62" t="s">
        <v>20</v>
      </c>
      <c r="C12" s="63" t="s">
        <v>123</v>
      </c>
      <c r="D12" s="64"/>
      <c r="E12" s="65"/>
      <c r="F12" s="66"/>
      <c r="G12" s="66"/>
      <c r="H12" s="64"/>
      <c r="I12" s="65"/>
      <c r="J12" s="66"/>
      <c r="K12" s="66"/>
      <c r="L12" s="26"/>
      <c r="M12" s="65"/>
      <c r="N12" s="66"/>
      <c r="O12" s="66"/>
      <c r="P12" s="26"/>
      <c r="Q12" s="65"/>
      <c r="R12" s="66"/>
      <c r="S12" s="66"/>
      <c r="T12" s="26"/>
      <c r="U12" s="65"/>
      <c r="V12" s="66"/>
      <c r="W12" s="66"/>
      <c r="X12" s="26"/>
      <c r="Y12" s="65"/>
      <c r="Z12" s="66"/>
      <c r="AA12" s="66"/>
    </row>
    <row r="13" spans="1:28">
      <c r="A13" s="14"/>
      <c r="B13" s="31"/>
      <c r="C13" s="28" t="s">
        <v>121</v>
      </c>
      <c r="D13" s="67" t="s">
        <v>69</v>
      </c>
      <c r="E13" s="29">
        <f t="shared" ref="E13" si="0">I13+M13+Q13+U13+Y13</f>
        <v>1</v>
      </c>
      <c r="F13" s="32">
        <v>4395</v>
      </c>
      <c r="G13" s="32">
        <f t="shared" ref="G13" si="1">K13+O13+S13+W13+AA13</f>
        <v>4395</v>
      </c>
      <c r="H13" s="67"/>
      <c r="I13" s="29">
        <v>0</v>
      </c>
      <c r="J13" s="32"/>
      <c r="K13" s="32">
        <f>I13*J13</f>
        <v>0</v>
      </c>
      <c r="M13" s="29">
        <v>0</v>
      </c>
      <c r="N13" s="32"/>
      <c r="O13" s="32">
        <f>M13*N13</f>
        <v>0</v>
      </c>
      <c r="Q13" s="29">
        <v>1</v>
      </c>
      <c r="R13" s="32">
        <f>F13</f>
        <v>4395</v>
      </c>
      <c r="S13" s="32">
        <f>Q13*R13</f>
        <v>4395</v>
      </c>
      <c r="U13" s="29">
        <v>0</v>
      </c>
      <c r="V13" s="32">
        <f>F13</f>
        <v>4395</v>
      </c>
      <c r="W13" s="32">
        <f>U13*V13</f>
        <v>0</v>
      </c>
      <c r="Y13" s="29">
        <v>0</v>
      </c>
      <c r="Z13" s="32"/>
      <c r="AA13" s="32">
        <f>Y13*Z13</f>
        <v>0</v>
      </c>
    </row>
    <row r="14" spans="1:28" ht="27.6">
      <c r="A14" s="14"/>
      <c r="B14" s="31"/>
      <c r="C14" s="28" t="s">
        <v>710</v>
      </c>
      <c r="D14" s="67" t="s">
        <v>69</v>
      </c>
      <c r="E14" s="29">
        <f t="shared" ref="E14:E16" si="2">I14+M14+Q14+U14+Y14</f>
        <v>1</v>
      </c>
      <c r="F14" s="32">
        <v>4281</v>
      </c>
      <c r="G14" s="32">
        <f>K14+O14+S14+W14+AA14</f>
        <v>4281</v>
      </c>
      <c r="H14" s="67"/>
      <c r="I14" s="29">
        <v>0</v>
      </c>
      <c r="J14" s="32"/>
      <c r="K14" s="32">
        <f t="shared" ref="K14:K20" si="3">I14*J14</f>
        <v>0</v>
      </c>
      <c r="M14" s="29">
        <v>0</v>
      </c>
      <c r="N14" s="32"/>
      <c r="O14" s="32">
        <f t="shared" ref="O14:O20" si="4">M14*N14</f>
        <v>0</v>
      </c>
      <c r="Q14" s="29">
        <v>1</v>
      </c>
      <c r="R14" s="32">
        <f t="shared" ref="R14:R20" si="5">F14</f>
        <v>4281</v>
      </c>
      <c r="S14" s="32">
        <f t="shared" ref="S14:S20" si="6">Q14*R14</f>
        <v>4281</v>
      </c>
      <c r="U14" s="29">
        <v>0</v>
      </c>
      <c r="V14" s="32">
        <f t="shared" ref="V14:V20" si="7">F14</f>
        <v>4281</v>
      </c>
      <c r="W14" s="32">
        <f>U14*V14</f>
        <v>0</v>
      </c>
      <c r="Y14" s="29">
        <v>0</v>
      </c>
      <c r="Z14" s="32"/>
      <c r="AA14" s="32">
        <f t="shared" ref="AA14:AA20" si="8">Y14*Z14</f>
        <v>0</v>
      </c>
    </row>
    <row r="15" spans="1:28">
      <c r="A15" s="14"/>
      <c r="B15" s="31"/>
      <c r="C15" s="28" t="s">
        <v>709</v>
      </c>
      <c r="D15" s="67" t="s">
        <v>69</v>
      </c>
      <c r="E15" s="29">
        <f t="shared" si="2"/>
        <v>1</v>
      </c>
      <c r="F15" s="32">
        <v>5277</v>
      </c>
      <c r="G15" s="32">
        <f t="shared" ref="G15:G16" si="9">K15+O15+S15+W15+AA15</f>
        <v>5277</v>
      </c>
      <c r="H15" s="67"/>
      <c r="I15" s="29">
        <v>0</v>
      </c>
      <c r="J15" s="32"/>
      <c r="K15" s="32">
        <f t="shared" si="3"/>
        <v>0</v>
      </c>
      <c r="M15" s="29">
        <v>0</v>
      </c>
      <c r="N15" s="32"/>
      <c r="O15" s="32">
        <f t="shared" si="4"/>
        <v>0</v>
      </c>
      <c r="Q15" s="29">
        <v>1</v>
      </c>
      <c r="R15" s="32">
        <f t="shared" si="5"/>
        <v>5277</v>
      </c>
      <c r="S15" s="32">
        <f t="shared" si="6"/>
        <v>5277</v>
      </c>
      <c r="U15" s="29">
        <v>0</v>
      </c>
      <c r="V15" s="32">
        <f t="shared" si="7"/>
        <v>5277</v>
      </c>
      <c r="W15" s="32">
        <f>U15*V15</f>
        <v>0</v>
      </c>
      <c r="Y15" s="29">
        <v>0</v>
      </c>
      <c r="Z15" s="32"/>
      <c r="AA15" s="32">
        <f t="shared" si="8"/>
        <v>0</v>
      </c>
      <c r="AB15" s="22"/>
    </row>
    <row r="16" spans="1:28">
      <c r="A16" s="14"/>
      <c r="B16" s="31"/>
      <c r="C16" s="28" t="s">
        <v>125</v>
      </c>
      <c r="D16" s="67" t="s">
        <v>69</v>
      </c>
      <c r="E16" s="29">
        <f t="shared" si="2"/>
        <v>2</v>
      </c>
      <c r="F16" s="32">
        <v>5089</v>
      </c>
      <c r="G16" s="32">
        <f t="shared" si="9"/>
        <v>10178</v>
      </c>
      <c r="H16" s="67"/>
      <c r="I16" s="29">
        <v>0</v>
      </c>
      <c r="J16" s="32"/>
      <c r="K16" s="32">
        <f t="shared" si="3"/>
        <v>0</v>
      </c>
      <c r="M16" s="29">
        <v>0</v>
      </c>
      <c r="N16" s="32"/>
      <c r="O16" s="32">
        <f t="shared" si="4"/>
        <v>0</v>
      </c>
      <c r="Q16" s="29">
        <v>2</v>
      </c>
      <c r="R16" s="32">
        <f t="shared" si="5"/>
        <v>5089</v>
      </c>
      <c r="S16" s="32">
        <f t="shared" si="6"/>
        <v>10178</v>
      </c>
      <c r="U16" s="29">
        <v>0</v>
      </c>
      <c r="V16" s="32">
        <f t="shared" si="7"/>
        <v>5089</v>
      </c>
      <c r="W16" s="32">
        <f t="shared" ref="W16:W20" si="10">U16*V16</f>
        <v>0</v>
      </c>
      <c r="Y16" s="29">
        <v>0</v>
      </c>
      <c r="Z16" s="32"/>
      <c r="AA16" s="32">
        <f t="shared" si="8"/>
        <v>0</v>
      </c>
      <c r="AB16" s="22"/>
    </row>
    <row r="17" spans="1:28">
      <c r="A17" s="14"/>
      <c r="B17" s="31"/>
      <c r="C17" s="28" t="s">
        <v>126</v>
      </c>
      <c r="D17" s="67" t="s">
        <v>69</v>
      </c>
      <c r="E17" s="29">
        <f t="shared" ref="E17:E20" si="11">I17+M17+Q17+U17+Y17</f>
        <v>2</v>
      </c>
      <c r="F17" s="32">
        <v>5013</v>
      </c>
      <c r="G17" s="32">
        <f t="shared" ref="G17:G20" si="12">K17+O17+S17+W17+AA17</f>
        <v>10026</v>
      </c>
      <c r="H17" s="67"/>
      <c r="I17" s="29">
        <v>0</v>
      </c>
      <c r="J17" s="32"/>
      <c r="K17" s="32">
        <f t="shared" si="3"/>
        <v>0</v>
      </c>
      <c r="M17" s="29">
        <v>0</v>
      </c>
      <c r="N17" s="32"/>
      <c r="O17" s="32">
        <f t="shared" si="4"/>
        <v>0</v>
      </c>
      <c r="Q17" s="29">
        <v>2</v>
      </c>
      <c r="R17" s="32">
        <f t="shared" si="5"/>
        <v>5013</v>
      </c>
      <c r="S17" s="32">
        <f t="shared" si="6"/>
        <v>10026</v>
      </c>
      <c r="U17" s="29">
        <v>0</v>
      </c>
      <c r="V17" s="32">
        <f t="shared" si="7"/>
        <v>5013</v>
      </c>
      <c r="W17" s="32">
        <f t="shared" si="10"/>
        <v>0</v>
      </c>
      <c r="Y17" s="29">
        <v>0</v>
      </c>
      <c r="Z17" s="32"/>
      <c r="AA17" s="32">
        <f t="shared" si="8"/>
        <v>0</v>
      </c>
      <c r="AB17" s="22"/>
    </row>
    <row r="18" spans="1:28">
      <c r="A18" s="14"/>
      <c r="B18" s="31"/>
      <c r="C18" s="28" t="s">
        <v>127</v>
      </c>
      <c r="D18" s="67" t="s">
        <v>69</v>
      </c>
      <c r="E18" s="29">
        <f t="shared" si="11"/>
        <v>1</v>
      </c>
      <c r="F18" s="32">
        <v>4967</v>
      </c>
      <c r="G18" s="32">
        <f t="shared" si="12"/>
        <v>4967</v>
      </c>
      <c r="H18" s="67"/>
      <c r="I18" s="29">
        <v>0</v>
      </c>
      <c r="J18" s="32"/>
      <c r="K18" s="32">
        <f t="shared" si="3"/>
        <v>0</v>
      </c>
      <c r="M18" s="29">
        <v>0</v>
      </c>
      <c r="N18" s="32"/>
      <c r="O18" s="32">
        <f t="shared" si="4"/>
        <v>0</v>
      </c>
      <c r="Q18" s="29">
        <v>1</v>
      </c>
      <c r="R18" s="32">
        <f t="shared" si="5"/>
        <v>4967</v>
      </c>
      <c r="S18" s="32">
        <f t="shared" si="6"/>
        <v>4967</v>
      </c>
      <c r="U18" s="29">
        <v>0</v>
      </c>
      <c r="V18" s="32">
        <f t="shared" si="7"/>
        <v>4967</v>
      </c>
      <c r="W18" s="32">
        <f t="shared" si="10"/>
        <v>0</v>
      </c>
      <c r="Y18" s="29">
        <v>0</v>
      </c>
      <c r="Z18" s="32"/>
      <c r="AA18" s="32">
        <f t="shared" si="8"/>
        <v>0</v>
      </c>
      <c r="AB18" s="22"/>
    </row>
    <row r="19" spans="1:28">
      <c r="A19" s="14"/>
      <c r="B19" s="31"/>
      <c r="C19" s="28" t="s">
        <v>707</v>
      </c>
      <c r="D19" s="67" t="s">
        <v>69</v>
      </c>
      <c r="E19" s="29">
        <f t="shared" ref="E19" si="13">I19+M19+Q19+U19+Y19</f>
        <v>1</v>
      </c>
      <c r="F19" s="32">
        <v>5088</v>
      </c>
      <c r="G19" s="32">
        <f t="shared" ref="G19" si="14">K19+O19+S19+W19+AA19</f>
        <v>5088</v>
      </c>
      <c r="H19" s="67"/>
      <c r="I19" s="29">
        <v>0</v>
      </c>
      <c r="J19" s="32"/>
      <c r="K19" s="32">
        <f t="shared" ref="K19" si="15">I19*J19</f>
        <v>0</v>
      </c>
      <c r="M19" s="29">
        <v>0</v>
      </c>
      <c r="N19" s="32"/>
      <c r="O19" s="32">
        <f t="shared" ref="O19" si="16">M19*N19</f>
        <v>0</v>
      </c>
      <c r="Q19" s="29">
        <v>0</v>
      </c>
      <c r="R19" s="32">
        <f t="shared" si="5"/>
        <v>5088</v>
      </c>
      <c r="S19" s="32">
        <f t="shared" ref="S19" si="17">Q19*R19</f>
        <v>0</v>
      </c>
      <c r="U19" s="29">
        <v>1</v>
      </c>
      <c r="V19" s="32">
        <f t="shared" si="7"/>
        <v>5088</v>
      </c>
      <c r="W19" s="32">
        <f t="shared" ref="W19" si="18">U19*V19</f>
        <v>5088</v>
      </c>
      <c r="Y19" s="29">
        <v>0</v>
      </c>
      <c r="Z19" s="32"/>
      <c r="AA19" s="32">
        <f t="shared" ref="AA19" si="19">Y19*Z19</f>
        <v>0</v>
      </c>
      <c r="AB19" s="22"/>
    </row>
    <row r="20" spans="1:28">
      <c r="A20" s="14"/>
      <c r="B20" s="31"/>
      <c r="C20" s="28" t="s">
        <v>708</v>
      </c>
      <c r="D20" s="67" t="s">
        <v>69</v>
      </c>
      <c r="E20" s="29">
        <f t="shared" si="11"/>
        <v>1</v>
      </c>
      <c r="F20" s="32">
        <v>5088</v>
      </c>
      <c r="G20" s="32">
        <f t="shared" si="12"/>
        <v>5088</v>
      </c>
      <c r="H20" s="67"/>
      <c r="I20" s="29">
        <v>0</v>
      </c>
      <c r="J20" s="32"/>
      <c r="K20" s="32">
        <f t="shared" si="3"/>
        <v>0</v>
      </c>
      <c r="M20" s="29">
        <v>0</v>
      </c>
      <c r="N20" s="32"/>
      <c r="O20" s="32">
        <f t="shared" si="4"/>
        <v>0</v>
      </c>
      <c r="Q20" s="29">
        <v>0</v>
      </c>
      <c r="R20" s="32">
        <f t="shared" si="5"/>
        <v>5088</v>
      </c>
      <c r="S20" s="32">
        <f t="shared" si="6"/>
        <v>0</v>
      </c>
      <c r="U20" s="29">
        <v>1</v>
      </c>
      <c r="V20" s="32">
        <f t="shared" si="7"/>
        <v>5088</v>
      </c>
      <c r="W20" s="32">
        <f t="shared" si="10"/>
        <v>5088</v>
      </c>
      <c r="Y20" s="29">
        <v>0</v>
      </c>
      <c r="Z20" s="32"/>
      <c r="AA20" s="32">
        <f t="shared" si="8"/>
        <v>0</v>
      </c>
      <c r="AB20" s="22"/>
    </row>
    <row r="21" spans="1:28">
      <c r="A21" s="14"/>
      <c r="B21" s="31"/>
      <c r="C21" s="28"/>
      <c r="D21" s="67"/>
      <c r="E21" s="29"/>
      <c r="F21" s="32"/>
      <c r="G21" s="32"/>
      <c r="H21" s="67"/>
      <c r="I21" s="29"/>
      <c r="J21" s="32"/>
      <c r="K21" s="32"/>
      <c r="M21" s="29"/>
      <c r="N21" s="32"/>
      <c r="O21" s="32"/>
      <c r="Q21" s="29"/>
      <c r="R21" s="32"/>
      <c r="S21" s="32"/>
      <c r="U21" s="29"/>
      <c r="V21" s="32"/>
      <c r="W21" s="32"/>
      <c r="Y21" s="29"/>
      <c r="Z21" s="32"/>
      <c r="AA21" s="32"/>
    </row>
    <row r="22" spans="1:28">
      <c r="A22" s="35"/>
      <c r="B22" s="27"/>
      <c r="C22" s="38" t="s">
        <v>124</v>
      </c>
      <c r="D22" s="68"/>
      <c r="E22" s="37"/>
      <c r="F22" s="33" t="s">
        <v>10</v>
      </c>
      <c r="G22" s="34">
        <f>K22+O22+S22+W22+AA22</f>
        <v>49300</v>
      </c>
      <c r="H22" s="68"/>
      <c r="I22" s="37"/>
      <c r="J22" s="33" t="s">
        <v>10</v>
      </c>
      <c r="K22" s="34">
        <f>SUM(K12:K21)</f>
        <v>0</v>
      </c>
      <c r="M22" s="37"/>
      <c r="N22" s="33" t="s">
        <v>10</v>
      </c>
      <c r="O22" s="34">
        <f>SUM(O12:O21)</f>
        <v>0</v>
      </c>
      <c r="Q22" s="37"/>
      <c r="R22" s="33" t="s">
        <v>10</v>
      </c>
      <c r="S22" s="34">
        <f>SUM(S12:S21)</f>
        <v>39124</v>
      </c>
      <c r="U22" s="37"/>
      <c r="V22" s="33" t="s">
        <v>10</v>
      </c>
      <c r="W22" s="34">
        <f>SUM(W12:W21)</f>
        <v>10176</v>
      </c>
      <c r="Y22" s="37"/>
      <c r="Z22" s="33" t="s">
        <v>10</v>
      </c>
      <c r="AA22" s="34">
        <f>SUM(AA12:AA21)</f>
        <v>0</v>
      </c>
    </row>
    <row r="23" spans="1:28">
      <c r="A23" s="35"/>
      <c r="B23" s="27"/>
      <c r="C23" s="36"/>
      <c r="D23" s="68"/>
      <c r="E23" s="37"/>
      <c r="F23" s="33"/>
      <c r="G23" s="34"/>
      <c r="H23" s="68"/>
      <c r="I23" s="37"/>
      <c r="J23" s="33"/>
      <c r="K23" s="34"/>
      <c r="M23" s="37"/>
      <c r="N23" s="33"/>
      <c r="O23" s="34"/>
      <c r="Q23" s="37"/>
      <c r="R23" s="33"/>
      <c r="S23" s="34"/>
      <c r="U23" s="37"/>
      <c r="V23" s="33"/>
      <c r="W23" s="34"/>
      <c r="Y23" s="37"/>
      <c r="Z23" s="33"/>
      <c r="AA23" s="34"/>
    </row>
    <row r="24" spans="1:28">
      <c r="A24" s="14"/>
      <c r="B24" s="31"/>
      <c r="C24" s="38"/>
      <c r="D24" s="69"/>
      <c r="E24" s="37"/>
      <c r="F24" s="30"/>
      <c r="G24" s="34"/>
      <c r="H24" s="69"/>
      <c r="I24" s="37"/>
      <c r="J24" s="30"/>
      <c r="K24" s="34"/>
      <c r="M24" s="37"/>
      <c r="N24" s="30"/>
      <c r="O24" s="34"/>
      <c r="Q24" s="37"/>
      <c r="R24" s="30"/>
      <c r="S24" s="34"/>
      <c r="U24" s="37"/>
      <c r="V24" s="30"/>
      <c r="W24" s="34"/>
      <c r="Y24" s="37"/>
      <c r="Z24" s="30"/>
      <c r="AA24" s="34"/>
    </row>
    <row r="25" spans="1:28">
      <c r="A25" s="14"/>
      <c r="B25" s="31"/>
      <c r="C25" s="38"/>
      <c r="D25" s="69"/>
      <c r="E25" s="37"/>
      <c r="F25" s="30"/>
      <c r="G25" s="34"/>
      <c r="H25" s="69"/>
      <c r="I25" s="37"/>
      <c r="J25" s="30"/>
      <c r="K25" s="34"/>
      <c r="M25" s="37"/>
      <c r="N25" s="30"/>
      <c r="O25" s="34"/>
      <c r="Q25" s="37"/>
      <c r="R25" s="30"/>
      <c r="S25" s="34"/>
      <c r="U25" s="37"/>
      <c r="V25" s="30"/>
      <c r="W25" s="34"/>
      <c r="Y25" s="37"/>
      <c r="Z25" s="30"/>
      <c r="AA25" s="34"/>
    </row>
    <row r="26" spans="1:28" ht="6" customHeight="1">
      <c r="A26" s="70"/>
      <c r="B26" s="41"/>
      <c r="C26" s="42"/>
      <c r="D26" s="41"/>
      <c r="E26" s="41"/>
      <c r="F26" s="44"/>
      <c r="G26" s="44"/>
      <c r="H26" s="41"/>
      <c r="I26" s="43"/>
      <c r="J26" s="44"/>
      <c r="K26" s="44"/>
      <c r="L26" s="41"/>
      <c r="M26" s="43"/>
      <c r="N26" s="44"/>
      <c r="O26" s="44"/>
      <c r="P26" s="41"/>
      <c r="Q26" s="43"/>
      <c r="R26" s="44"/>
      <c r="S26" s="44"/>
      <c r="T26" s="41"/>
      <c r="U26" s="43"/>
      <c r="V26" s="44"/>
      <c r="W26" s="44"/>
      <c r="X26" s="41"/>
      <c r="Y26" s="43"/>
      <c r="Z26" s="44"/>
      <c r="AA26" s="44"/>
    </row>
    <row r="27" spans="1:28" s="56" customFormat="1">
      <c r="A27" s="71"/>
      <c r="B27" s="72"/>
      <c r="C27" s="53" t="s">
        <v>7</v>
      </c>
      <c r="D27" s="52"/>
      <c r="E27" s="52"/>
      <c r="F27" s="55"/>
      <c r="G27" s="55">
        <f>G22+G9</f>
        <v>84812</v>
      </c>
      <c r="H27" s="52"/>
      <c r="I27" s="54"/>
      <c r="J27" s="55"/>
      <c r="K27" s="55">
        <f>K22+K9</f>
        <v>0</v>
      </c>
      <c r="L27" s="52"/>
      <c r="M27" s="54"/>
      <c r="N27" s="55"/>
      <c r="O27" s="55">
        <f>O22+O9</f>
        <v>35512</v>
      </c>
      <c r="P27" s="52"/>
      <c r="Q27" s="54"/>
      <c r="R27" s="55"/>
      <c r="S27" s="55">
        <f>S22+S9</f>
        <v>39124</v>
      </c>
      <c r="T27" s="52"/>
      <c r="U27" s="54"/>
      <c r="V27" s="55"/>
      <c r="W27" s="55">
        <f>W22+W9</f>
        <v>10176</v>
      </c>
      <c r="X27" s="52"/>
      <c r="Y27" s="54"/>
      <c r="Z27" s="55"/>
      <c r="AA27" s="55">
        <f>AA22+AA9</f>
        <v>0</v>
      </c>
    </row>
    <row r="28" spans="1:28" s="56" customFormat="1">
      <c r="A28" s="71"/>
      <c r="B28" s="72"/>
      <c r="C28" s="53" t="s">
        <v>8</v>
      </c>
      <c r="D28" s="52"/>
      <c r="E28" s="52"/>
      <c r="F28" s="55"/>
      <c r="G28" s="55">
        <f>G27*0.2</f>
        <v>16962.400000000001</v>
      </c>
      <c r="H28" s="52"/>
      <c r="I28" s="54"/>
      <c r="J28" s="55"/>
      <c r="K28" s="55">
        <f>K27*0.2</f>
        <v>0</v>
      </c>
      <c r="L28" s="52"/>
      <c r="M28" s="54"/>
      <c r="N28" s="55"/>
      <c r="O28" s="55">
        <f>O27*0.2</f>
        <v>7102.4000000000005</v>
      </c>
      <c r="P28" s="52"/>
      <c r="Q28" s="54"/>
      <c r="R28" s="55"/>
      <c r="S28" s="55">
        <f>S27*0.2</f>
        <v>7824.8</v>
      </c>
      <c r="T28" s="52"/>
      <c r="U28" s="54"/>
      <c r="V28" s="55"/>
      <c r="W28" s="55">
        <f>W27*0.2</f>
        <v>2035.2</v>
      </c>
      <c r="X28" s="52"/>
      <c r="Y28" s="54"/>
      <c r="Z28" s="55"/>
      <c r="AA28" s="55">
        <f>AA27*0.2</f>
        <v>0</v>
      </c>
    </row>
    <row r="29" spans="1:28" s="56" customFormat="1">
      <c r="A29" s="71"/>
      <c r="B29" s="72"/>
      <c r="C29" s="53" t="s">
        <v>9</v>
      </c>
      <c r="D29" s="52"/>
      <c r="E29" s="52"/>
      <c r="F29" s="55"/>
      <c r="G29" s="55">
        <f>G28+G27</f>
        <v>101774.39999999999</v>
      </c>
      <c r="H29" s="52"/>
      <c r="I29" s="54"/>
      <c r="J29" s="55"/>
      <c r="K29" s="55">
        <f>K28+K27</f>
        <v>0</v>
      </c>
      <c r="L29" s="52"/>
      <c r="M29" s="54"/>
      <c r="N29" s="55"/>
      <c r="O29" s="55">
        <f>O28+O27</f>
        <v>42614.400000000001</v>
      </c>
      <c r="P29" s="52"/>
      <c r="Q29" s="54"/>
      <c r="R29" s="55"/>
      <c r="S29" s="55">
        <f>S28+S27</f>
        <v>46948.800000000003</v>
      </c>
      <c r="T29" s="52"/>
      <c r="U29" s="54"/>
      <c r="V29" s="55"/>
      <c r="W29" s="55">
        <f>W28+W27</f>
        <v>12211.2</v>
      </c>
      <c r="X29" s="52"/>
      <c r="Y29" s="54"/>
      <c r="Z29" s="55"/>
      <c r="AA29" s="55">
        <f>AA28+AA27</f>
        <v>0</v>
      </c>
    </row>
    <row r="30" spans="1:28" ht="6.6" customHeight="1">
      <c r="A30" s="73"/>
      <c r="B30" s="74"/>
      <c r="C30" s="45"/>
      <c r="D30" s="46"/>
      <c r="E30" s="51"/>
      <c r="F30" s="48"/>
      <c r="G30" s="48"/>
      <c r="H30" s="46"/>
      <c r="I30" s="47"/>
      <c r="J30" s="48"/>
      <c r="K30" s="48"/>
      <c r="L30" s="49"/>
      <c r="M30" s="50"/>
      <c r="N30" s="48"/>
      <c r="O30" s="48"/>
      <c r="P30" s="49"/>
      <c r="Q30" s="50"/>
      <c r="R30" s="48"/>
      <c r="S30" s="48"/>
      <c r="T30" s="49"/>
      <c r="U30" s="50"/>
      <c r="V30" s="48"/>
      <c r="W30" s="48"/>
      <c r="X30" s="49"/>
      <c r="Y30" s="50"/>
      <c r="Z30" s="48"/>
      <c r="AA30" s="48"/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A203"/>
  <sheetViews>
    <sheetView showGridLines="0" view="pageBreakPreview" zoomScale="70" zoomScaleNormal="85" zoomScaleSheetLayoutView="70" workbookViewId="0">
      <pane ySplit="5" topLeftCell="A6" activePane="bottomLeft" state="frozen"/>
      <selection activeCell="C15" sqref="C15:I15"/>
      <selection pane="bottomLeft" activeCell="J24" sqref="J24"/>
    </sheetView>
  </sheetViews>
  <sheetFormatPr baseColWidth="10" defaultColWidth="11.44140625" defaultRowHeight="14.4"/>
  <cols>
    <col min="1" max="1" width="3.33203125" style="2" customWidth="1"/>
    <col min="2" max="2" width="4.44140625" style="3" customWidth="1"/>
    <col min="3" max="3" width="55.6640625" style="24" customWidth="1"/>
    <col min="4" max="4" width="4.5546875" style="1" bestFit="1" customWidth="1"/>
    <col min="5" max="5" width="7.88671875" style="1" customWidth="1"/>
    <col min="6" max="6" width="12" style="1" bestFit="1" customWidth="1"/>
    <col min="7" max="7" width="16.33203125" style="1" bestFit="1" customWidth="1"/>
    <col min="8" max="8" width="2.6640625" style="1" customWidth="1"/>
    <col min="9" max="9" width="10.33203125" style="1" bestFit="1" customWidth="1"/>
    <col min="10" max="10" width="14.6640625" style="1" bestFit="1" customWidth="1"/>
    <col min="11" max="11" width="14.5546875" style="1" customWidth="1"/>
    <col min="12" max="12" width="2.6640625" style="1" customWidth="1"/>
    <col min="13" max="13" width="7.5546875" style="1" bestFit="1" customWidth="1"/>
    <col min="14" max="14" width="11.44140625" style="1" bestFit="1" customWidth="1"/>
    <col min="15" max="15" width="15.33203125" style="1" bestFit="1" customWidth="1"/>
    <col min="16" max="16" width="2.6640625" style="1" customWidth="1"/>
    <col min="17" max="17" width="7.5546875" style="1" bestFit="1" customWidth="1"/>
    <col min="18" max="18" width="11.44140625" style="1" bestFit="1" customWidth="1"/>
    <col min="19" max="19" width="16" style="1" bestFit="1" customWidth="1"/>
    <col min="20" max="20" width="2.6640625" style="1" customWidth="1"/>
    <col min="21" max="21" width="7.5546875" style="1" bestFit="1" customWidth="1"/>
    <col min="22" max="22" width="11.44140625" style="1" bestFit="1" customWidth="1"/>
    <col min="23" max="23" width="15.5546875" style="1" bestFit="1" customWidth="1"/>
    <col min="24" max="24" width="2.6640625" style="1" customWidth="1"/>
    <col min="25" max="25" width="7.5546875" style="1" bestFit="1" customWidth="1"/>
    <col min="26" max="26" width="11.44140625" style="1" bestFit="1" customWidth="1"/>
    <col min="27" max="27" width="14.44140625" style="1" bestFit="1" customWidth="1"/>
    <col min="28" max="28" width="14.5546875" style="1" bestFit="1" customWidth="1"/>
    <col min="29" max="29" width="12.109375" style="1" bestFit="1" customWidth="1"/>
    <col min="30" max="30" width="11.44140625" style="1"/>
    <col min="31" max="31" width="15" style="1" customWidth="1"/>
    <col min="32" max="16384" width="11.44140625" style="1"/>
  </cols>
  <sheetData>
    <row r="1" spans="1:27" ht="23.25" customHeight="1">
      <c r="A1" s="566" t="s">
        <v>705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8"/>
    </row>
    <row r="2" spans="1:27" ht="8.4" customHeight="1">
      <c r="A2" s="15"/>
      <c r="C2" s="3"/>
      <c r="D2" s="3"/>
      <c r="E2" s="3"/>
      <c r="F2" s="3"/>
      <c r="G2" s="2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23"/>
    </row>
    <row r="3" spans="1:27" ht="19.5" customHeight="1">
      <c r="A3" s="16"/>
      <c r="C3" s="203" t="str">
        <f>'Page de garde'!C15</f>
        <v>IND 00 du 10/06/2025</v>
      </c>
      <c r="E3" s="569" t="s">
        <v>12</v>
      </c>
      <c r="F3" s="570"/>
      <c r="G3" s="571"/>
      <c r="I3" s="572" t="s">
        <v>30</v>
      </c>
      <c r="J3" s="573"/>
      <c r="K3" s="574"/>
      <c r="M3" s="572" t="s">
        <v>31</v>
      </c>
      <c r="N3" s="573"/>
      <c r="O3" s="574"/>
      <c r="Q3" s="572" t="s">
        <v>33</v>
      </c>
      <c r="R3" s="573"/>
      <c r="S3" s="574"/>
      <c r="U3" s="572" t="s">
        <v>34</v>
      </c>
      <c r="V3" s="573"/>
      <c r="W3" s="574"/>
      <c r="Y3" s="572" t="s">
        <v>35</v>
      </c>
      <c r="Z3" s="573"/>
      <c r="AA3" s="574"/>
    </row>
    <row r="4" spans="1:27" ht="19.5" customHeight="1">
      <c r="A4" s="16"/>
      <c r="E4" s="76"/>
      <c r="F4" s="77"/>
      <c r="G4" s="78" t="s">
        <v>11</v>
      </c>
      <c r="I4" s="57"/>
      <c r="J4" s="58"/>
      <c r="K4" s="59" t="s">
        <v>11</v>
      </c>
      <c r="M4" s="60"/>
      <c r="N4" s="58"/>
      <c r="O4" s="59" t="s">
        <v>11</v>
      </c>
      <c r="Q4" s="60"/>
      <c r="R4" s="58"/>
      <c r="S4" s="59" t="s">
        <v>11</v>
      </c>
      <c r="U4" s="60"/>
      <c r="V4" s="58"/>
      <c r="W4" s="59" t="s">
        <v>11</v>
      </c>
      <c r="Y4" s="60"/>
      <c r="Z4" s="58"/>
      <c r="AA4" s="59" t="s">
        <v>11</v>
      </c>
    </row>
    <row r="5" spans="1:27" s="17" customFormat="1" ht="24">
      <c r="A5" s="565" t="s">
        <v>1</v>
      </c>
      <c r="B5" s="565"/>
      <c r="C5" s="25" t="s">
        <v>2</v>
      </c>
      <c r="D5" s="18" t="s">
        <v>0</v>
      </c>
      <c r="E5" s="79" t="s">
        <v>3</v>
      </c>
      <c r="F5" s="79" t="s">
        <v>4</v>
      </c>
      <c r="G5" s="79" t="s">
        <v>5</v>
      </c>
      <c r="H5" s="18"/>
      <c r="I5" s="19" t="s">
        <v>3</v>
      </c>
      <c r="J5" s="19" t="s">
        <v>4</v>
      </c>
      <c r="K5" s="19" t="s">
        <v>5</v>
      </c>
      <c r="L5" s="20"/>
      <c r="M5" s="19" t="s">
        <v>3</v>
      </c>
      <c r="N5" s="19" t="s">
        <v>4</v>
      </c>
      <c r="O5" s="19" t="s">
        <v>5</v>
      </c>
      <c r="P5" s="20"/>
      <c r="Q5" s="19" t="s">
        <v>3</v>
      </c>
      <c r="R5" s="19" t="s">
        <v>4</v>
      </c>
      <c r="S5" s="19" t="s">
        <v>5</v>
      </c>
      <c r="T5" s="20"/>
      <c r="U5" s="19" t="s">
        <v>3</v>
      </c>
      <c r="V5" s="19" t="s">
        <v>4</v>
      </c>
      <c r="W5" s="19" t="s">
        <v>5</v>
      </c>
      <c r="X5" s="20"/>
      <c r="Y5" s="19" t="s">
        <v>3</v>
      </c>
      <c r="Z5" s="19" t="s">
        <v>4</v>
      </c>
      <c r="AA5" s="19" t="s">
        <v>5</v>
      </c>
    </row>
    <row r="6" spans="1:27" s="56" customFormat="1">
      <c r="A6" s="345"/>
      <c r="B6" s="346" t="s">
        <v>19</v>
      </c>
      <c r="C6" s="328" t="s">
        <v>669</v>
      </c>
      <c r="D6" s="329"/>
      <c r="E6" s="39"/>
      <c r="F6" s="331"/>
      <c r="G6" s="182"/>
      <c r="H6" s="329"/>
      <c r="I6" s="330"/>
      <c r="J6" s="331"/>
      <c r="K6" s="40">
        <f t="shared" ref="K6:K71" si="0">I6*J6</f>
        <v>0</v>
      </c>
      <c r="M6" s="330"/>
      <c r="N6" s="331"/>
      <c r="O6" s="40">
        <f t="shared" ref="O6:O69" si="1">M6*N6</f>
        <v>0</v>
      </c>
      <c r="Q6" s="330"/>
      <c r="R6" s="331"/>
      <c r="S6" s="40">
        <f t="shared" ref="S6:S71" si="2">Q6*R6</f>
        <v>0</v>
      </c>
      <c r="U6" s="330"/>
      <c r="V6" s="331"/>
      <c r="W6" s="40">
        <f t="shared" ref="W6:W71" si="3">U6*V6</f>
        <v>0</v>
      </c>
      <c r="Y6" s="330"/>
      <c r="Z6" s="331"/>
      <c r="AA6" s="40">
        <f t="shared" ref="AA6:AA71" si="4">Y6*Z6</f>
        <v>0</v>
      </c>
    </row>
    <row r="7" spans="1:27">
      <c r="A7" s="345"/>
      <c r="B7" s="346" t="s">
        <v>967</v>
      </c>
      <c r="C7" s="192" t="s">
        <v>677</v>
      </c>
      <c r="D7" s="197" t="s">
        <v>6</v>
      </c>
      <c r="E7" s="39"/>
      <c r="F7" s="40"/>
      <c r="G7" s="40">
        <f t="shared" ref="G7:G75" si="5">K7+O7+S7+W7+AA7</f>
        <v>9356</v>
      </c>
      <c r="H7" s="197"/>
      <c r="I7" s="39">
        <v>1</v>
      </c>
      <c r="J7" s="40">
        <v>9356</v>
      </c>
      <c r="K7" s="40">
        <f t="shared" si="0"/>
        <v>9356</v>
      </c>
      <c r="M7" s="39"/>
      <c r="N7" s="40"/>
      <c r="O7" s="40">
        <f t="shared" si="1"/>
        <v>0</v>
      </c>
      <c r="Q7" s="39"/>
      <c r="R7" s="40"/>
      <c r="S7" s="40">
        <f t="shared" si="2"/>
        <v>0</v>
      </c>
      <c r="U7" s="39"/>
      <c r="V7" s="40"/>
      <c r="W7" s="40">
        <f t="shared" si="3"/>
        <v>0</v>
      </c>
      <c r="Y7" s="39"/>
      <c r="Z7" s="40"/>
      <c r="AA7" s="40">
        <f t="shared" si="4"/>
        <v>0</v>
      </c>
    </row>
    <row r="8" spans="1:27">
      <c r="A8" s="345"/>
      <c r="B8" s="346" t="s">
        <v>968</v>
      </c>
      <c r="C8" s="192" t="s">
        <v>969</v>
      </c>
      <c r="D8" s="197" t="s">
        <v>6</v>
      </c>
      <c r="E8" s="39"/>
      <c r="F8" s="40"/>
      <c r="G8" s="40">
        <f t="shared" si="5"/>
        <v>12763</v>
      </c>
      <c r="H8" s="197"/>
      <c r="I8" s="39">
        <v>0.01</v>
      </c>
      <c r="J8" s="40">
        <v>12763</v>
      </c>
      <c r="K8" s="40">
        <f t="shared" si="0"/>
        <v>127.63000000000001</v>
      </c>
      <c r="M8" s="39">
        <v>0.11</v>
      </c>
      <c r="N8" s="40">
        <v>12763</v>
      </c>
      <c r="O8" s="40">
        <f t="shared" si="1"/>
        <v>1403.93</v>
      </c>
      <c r="Q8" s="39">
        <v>0.73</v>
      </c>
      <c r="R8" s="40">
        <v>12763</v>
      </c>
      <c r="S8" s="40">
        <f t="shared" si="2"/>
        <v>9316.99</v>
      </c>
      <c r="U8" s="39">
        <v>0.13</v>
      </c>
      <c r="V8" s="40">
        <v>12763</v>
      </c>
      <c r="W8" s="40">
        <f t="shared" si="3"/>
        <v>1659.19</v>
      </c>
      <c r="Y8" s="39">
        <v>0.02</v>
      </c>
      <c r="Z8" s="40">
        <v>12763</v>
      </c>
      <c r="AA8" s="40">
        <f t="shared" si="4"/>
        <v>255.26000000000002</v>
      </c>
    </row>
    <row r="9" spans="1:27">
      <c r="A9" s="345"/>
      <c r="B9" s="346" t="s">
        <v>970</v>
      </c>
      <c r="C9" s="192" t="s">
        <v>971</v>
      </c>
      <c r="D9" s="197"/>
      <c r="E9" s="39"/>
      <c r="F9" s="40"/>
      <c r="G9" s="40">
        <f t="shared" si="5"/>
        <v>0</v>
      </c>
      <c r="H9" s="197"/>
      <c r="I9" s="39"/>
      <c r="J9" s="40"/>
      <c r="K9" s="40">
        <f t="shared" si="0"/>
        <v>0</v>
      </c>
      <c r="M9" s="39"/>
      <c r="N9" s="40"/>
      <c r="O9" s="40">
        <f t="shared" si="1"/>
        <v>0</v>
      </c>
      <c r="Q9" s="39"/>
      <c r="R9" s="40"/>
      <c r="S9" s="40">
        <f t="shared" si="2"/>
        <v>0</v>
      </c>
      <c r="U9" s="39"/>
      <c r="V9" s="40"/>
      <c r="W9" s="40">
        <f t="shared" si="3"/>
        <v>0</v>
      </c>
      <c r="Y9" s="39"/>
      <c r="Z9" s="40"/>
      <c r="AA9" s="40">
        <f t="shared" si="4"/>
        <v>0</v>
      </c>
    </row>
    <row r="10" spans="1:27">
      <c r="A10" s="345"/>
      <c r="B10" s="346"/>
      <c r="C10" s="192" t="s">
        <v>670</v>
      </c>
      <c r="D10" s="197" t="s">
        <v>6</v>
      </c>
      <c r="E10" s="39"/>
      <c r="F10" s="40"/>
      <c r="G10" s="40">
        <f t="shared" si="5"/>
        <v>20036</v>
      </c>
      <c r="H10" s="197"/>
      <c r="I10" s="39">
        <v>1</v>
      </c>
      <c r="J10" s="40">
        <v>20036</v>
      </c>
      <c r="K10" s="40">
        <f t="shared" si="0"/>
        <v>20036</v>
      </c>
      <c r="M10" s="39"/>
      <c r="N10" s="40"/>
      <c r="O10" s="40">
        <f t="shared" si="1"/>
        <v>0</v>
      </c>
      <c r="Q10" s="39"/>
      <c r="R10" s="40"/>
      <c r="S10" s="40">
        <f t="shared" si="2"/>
        <v>0</v>
      </c>
      <c r="U10" s="39"/>
      <c r="V10" s="40"/>
      <c r="W10" s="40">
        <f t="shared" si="3"/>
        <v>0</v>
      </c>
      <c r="Y10" s="39"/>
      <c r="Z10" s="40"/>
      <c r="AA10" s="40">
        <f t="shared" si="4"/>
        <v>0</v>
      </c>
    </row>
    <row r="11" spans="1:27">
      <c r="A11" s="345"/>
      <c r="B11" s="346"/>
      <c r="C11" s="192" t="s">
        <v>671</v>
      </c>
      <c r="D11" s="197" t="s">
        <v>6</v>
      </c>
      <c r="E11" s="39"/>
      <c r="F11" s="40"/>
      <c r="G11" s="40">
        <f t="shared" si="5"/>
        <v>2771</v>
      </c>
      <c r="H11" s="197"/>
      <c r="I11" s="39"/>
      <c r="J11" s="40"/>
      <c r="K11" s="40">
        <f t="shared" si="0"/>
        <v>0</v>
      </c>
      <c r="M11" s="39"/>
      <c r="N11" s="40"/>
      <c r="O11" s="40">
        <f t="shared" si="1"/>
        <v>0</v>
      </c>
      <c r="Q11" s="39"/>
      <c r="R11" s="40"/>
      <c r="S11" s="40">
        <f t="shared" si="2"/>
        <v>0</v>
      </c>
      <c r="U11" s="39"/>
      <c r="V11" s="40"/>
      <c r="W11" s="40">
        <f t="shared" si="3"/>
        <v>0</v>
      </c>
      <c r="Y11" s="39">
        <v>1</v>
      </c>
      <c r="Z11" s="40">
        <v>2771</v>
      </c>
      <c r="AA11" s="40">
        <f t="shared" si="4"/>
        <v>2771</v>
      </c>
    </row>
    <row r="12" spans="1:27">
      <c r="A12" s="345"/>
      <c r="B12" s="346"/>
      <c r="C12" s="192"/>
      <c r="D12" s="197"/>
      <c r="E12" s="39"/>
      <c r="F12" s="40"/>
      <c r="G12" s="40">
        <f t="shared" si="5"/>
        <v>0</v>
      </c>
      <c r="H12" s="197"/>
      <c r="I12" s="39"/>
      <c r="J12" s="40"/>
      <c r="K12" s="40">
        <f t="shared" si="0"/>
        <v>0</v>
      </c>
      <c r="M12" s="39"/>
      <c r="N12" s="40"/>
      <c r="O12" s="40">
        <f t="shared" si="1"/>
        <v>0</v>
      </c>
      <c r="Q12" s="39"/>
      <c r="R12" s="40"/>
      <c r="S12" s="40">
        <f t="shared" si="2"/>
        <v>0</v>
      </c>
      <c r="U12" s="39"/>
      <c r="V12" s="40"/>
      <c r="W12" s="40">
        <f t="shared" si="3"/>
        <v>0</v>
      </c>
      <c r="Y12" s="39"/>
      <c r="Z12" s="40"/>
      <c r="AA12" s="40">
        <f t="shared" si="4"/>
        <v>0</v>
      </c>
    </row>
    <row r="13" spans="1:27">
      <c r="A13" s="345"/>
      <c r="B13" s="346" t="s">
        <v>78</v>
      </c>
      <c r="C13" s="328" t="s">
        <v>678</v>
      </c>
      <c r="D13" s="197"/>
      <c r="E13" s="39"/>
      <c r="F13" s="40"/>
      <c r="G13" s="40">
        <f t="shared" si="5"/>
        <v>0</v>
      </c>
      <c r="H13" s="197"/>
      <c r="I13" s="39"/>
      <c r="J13" s="40"/>
      <c r="K13" s="40">
        <f t="shared" si="0"/>
        <v>0</v>
      </c>
      <c r="M13" s="39"/>
      <c r="N13" s="40"/>
      <c r="O13" s="40">
        <f t="shared" si="1"/>
        <v>0</v>
      </c>
      <c r="Q13" s="39"/>
      <c r="R13" s="40"/>
      <c r="S13" s="40">
        <f t="shared" si="2"/>
        <v>0</v>
      </c>
      <c r="U13" s="39"/>
      <c r="V13" s="40"/>
      <c r="W13" s="40">
        <f t="shared" si="3"/>
        <v>0</v>
      </c>
      <c r="Y13" s="39"/>
      <c r="Z13" s="40"/>
      <c r="AA13" s="40">
        <f t="shared" si="4"/>
        <v>0</v>
      </c>
    </row>
    <row r="14" spans="1:27">
      <c r="A14" s="345"/>
      <c r="B14" s="346" t="s">
        <v>972</v>
      </c>
      <c r="C14" s="328" t="s">
        <v>440</v>
      </c>
      <c r="D14" s="197"/>
      <c r="E14" s="39"/>
      <c r="F14" s="40"/>
      <c r="G14" s="40">
        <f t="shared" si="5"/>
        <v>0</v>
      </c>
      <c r="H14" s="197"/>
      <c r="I14" s="39"/>
      <c r="J14" s="40"/>
      <c r="K14" s="40">
        <f t="shared" si="0"/>
        <v>0</v>
      </c>
      <c r="M14" s="39"/>
      <c r="N14" s="40"/>
      <c r="O14" s="40">
        <f t="shared" si="1"/>
        <v>0</v>
      </c>
      <c r="Q14" s="39"/>
      <c r="R14" s="40"/>
      <c r="S14" s="40">
        <f t="shared" si="2"/>
        <v>0</v>
      </c>
      <c r="U14" s="39"/>
      <c r="V14" s="40"/>
      <c r="W14" s="40">
        <f t="shared" si="3"/>
        <v>0</v>
      </c>
      <c r="Y14" s="39"/>
      <c r="Z14" s="40"/>
      <c r="AA14" s="40">
        <f t="shared" si="4"/>
        <v>0</v>
      </c>
    </row>
    <row r="15" spans="1:27">
      <c r="A15" s="345"/>
      <c r="B15" s="346"/>
      <c r="C15" s="192" t="s">
        <v>973</v>
      </c>
      <c r="D15" s="197" t="s">
        <v>6</v>
      </c>
      <c r="E15" s="39"/>
      <c r="F15" s="40"/>
      <c r="G15" s="40">
        <f t="shared" si="5"/>
        <v>419</v>
      </c>
      <c r="H15" s="197"/>
      <c r="I15" s="39">
        <v>1</v>
      </c>
      <c r="J15" s="40">
        <v>419</v>
      </c>
      <c r="K15" s="40">
        <f t="shared" si="0"/>
        <v>419</v>
      </c>
      <c r="M15" s="39"/>
      <c r="N15" s="40"/>
      <c r="O15" s="40">
        <f t="shared" si="1"/>
        <v>0</v>
      </c>
      <c r="Q15" s="39"/>
      <c r="R15" s="40"/>
      <c r="S15" s="40">
        <f t="shared" si="2"/>
        <v>0</v>
      </c>
      <c r="U15" s="39"/>
      <c r="V15" s="40"/>
      <c r="W15" s="40">
        <f t="shared" si="3"/>
        <v>0</v>
      </c>
      <c r="Y15" s="39"/>
      <c r="Z15" s="40"/>
      <c r="AA15" s="40">
        <f t="shared" si="4"/>
        <v>0</v>
      </c>
    </row>
    <row r="16" spans="1:27">
      <c r="A16" s="345"/>
      <c r="B16" s="346"/>
      <c r="C16" s="192" t="s">
        <v>974</v>
      </c>
      <c r="D16" s="197" t="s">
        <v>6</v>
      </c>
      <c r="E16" s="39"/>
      <c r="F16" s="40"/>
      <c r="G16" s="40">
        <f t="shared" si="5"/>
        <v>1659</v>
      </c>
      <c r="H16" s="197"/>
      <c r="I16" s="39"/>
      <c r="J16" s="40"/>
      <c r="K16" s="40">
        <f t="shared" si="0"/>
        <v>0</v>
      </c>
      <c r="M16" s="39">
        <v>1</v>
      </c>
      <c r="N16" s="40">
        <v>1659</v>
      </c>
      <c r="O16" s="40">
        <f t="shared" si="1"/>
        <v>1659</v>
      </c>
      <c r="Q16" s="39"/>
      <c r="R16" s="40"/>
      <c r="S16" s="40">
        <f t="shared" si="2"/>
        <v>0</v>
      </c>
      <c r="U16" s="39"/>
      <c r="V16" s="40"/>
      <c r="W16" s="40">
        <f t="shared" si="3"/>
        <v>0</v>
      </c>
      <c r="Y16" s="39"/>
      <c r="Z16" s="40"/>
      <c r="AA16" s="40">
        <f t="shared" si="4"/>
        <v>0</v>
      </c>
    </row>
    <row r="17" spans="1:27">
      <c r="A17" s="345"/>
      <c r="B17" s="346"/>
      <c r="C17" s="192" t="s">
        <v>975</v>
      </c>
      <c r="D17" s="197" t="s">
        <v>6</v>
      </c>
      <c r="E17" s="39"/>
      <c r="F17" s="40"/>
      <c r="G17" s="40">
        <f t="shared" si="5"/>
        <v>1659</v>
      </c>
      <c r="H17" s="197"/>
      <c r="I17" s="39"/>
      <c r="J17" s="40"/>
      <c r="K17" s="40">
        <f t="shared" si="0"/>
        <v>0</v>
      </c>
      <c r="M17" s="39"/>
      <c r="N17" s="40"/>
      <c r="O17" s="40">
        <f t="shared" si="1"/>
        <v>0</v>
      </c>
      <c r="Q17" s="39">
        <v>1</v>
      </c>
      <c r="R17" s="40">
        <v>1659</v>
      </c>
      <c r="S17" s="40">
        <f t="shared" si="2"/>
        <v>1659</v>
      </c>
      <c r="U17" s="39"/>
      <c r="V17" s="40"/>
      <c r="W17" s="40">
        <f t="shared" si="3"/>
        <v>0</v>
      </c>
      <c r="Y17" s="39"/>
      <c r="Z17" s="40"/>
      <c r="AA17" s="40">
        <f t="shared" si="4"/>
        <v>0</v>
      </c>
    </row>
    <row r="18" spans="1:27">
      <c r="A18" s="345"/>
      <c r="B18" s="346"/>
      <c r="C18" s="192" t="s">
        <v>976</v>
      </c>
      <c r="D18" s="197" t="s">
        <v>6</v>
      </c>
      <c r="E18" s="39"/>
      <c r="F18" s="40"/>
      <c r="G18" s="40">
        <f t="shared" si="5"/>
        <v>2066</v>
      </c>
      <c r="H18" s="197"/>
      <c r="I18" s="39"/>
      <c r="J18" s="40"/>
      <c r="K18" s="40">
        <f t="shared" si="0"/>
        <v>0</v>
      </c>
      <c r="M18" s="39"/>
      <c r="N18" s="40"/>
      <c r="O18" s="40">
        <f t="shared" si="1"/>
        <v>0</v>
      </c>
      <c r="Q18" s="39"/>
      <c r="R18" s="40"/>
      <c r="S18" s="40">
        <f t="shared" si="2"/>
        <v>0</v>
      </c>
      <c r="U18" s="39">
        <v>1</v>
      </c>
      <c r="V18" s="40">
        <v>2066</v>
      </c>
      <c r="W18" s="40">
        <f t="shared" si="3"/>
        <v>2066</v>
      </c>
      <c r="Y18" s="39"/>
      <c r="Z18" s="40"/>
      <c r="AA18" s="40">
        <f t="shared" si="4"/>
        <v>0</v>
      </c>
    </row>
    <row r="19" spans="1:27">
      <c r="A19" s="345"/>
      <c r="B19" s="346"/>
      <c r="C19" s="192" t="s">
        <v>977</v>
      </c>
      <c r="D19" s="197" t="s">
        <v>6</v>
      </c>
      <c r="E19" s="39"/>
      <c r="F19" s="40"/>
      <c r="G19" s="40">
        <f t="shared" si="5"/>
        <v>1456</v>
      </c>
      <c r="H19" s="197"/>
      <c r="I19" s="39"/>
      <c r="J19" s="40"/>
      <c r="K19" s="40">
        <f t="shared" si="0"/>
        <v>0</v>
      </c>
      <c r="M19" s="39"/>
      <c r="N19" s="40"/>
      <c r="O19" s="40">
        <f t="shared" si="1"/>
        <v>0</v>
      </c>
      <c r="Q19" s="39"/>
      <c r="R19" s="40"/>
      <c r="S19" s="40">
        <f t="shared" si="2"/>
        <v>0</v>
      </c>
      <c r="U19" s="39"/>
      <c r="V19" s="40"/>
      <c r="W19" s="40">
        <f t="shared" si="3"/>
        <v>0</v>
      </c>
      <c r="Y19" s="39">
        <v>1</v>
      </c>
      <c r="Z19" s="40">
        <v>1456</v>
      </c>
      <c r="AA19" s="40">
        <f t="shared" si="4"/>
        <v>1456</v>
      </c>
    </row>
    <row r="20" spans="1:27">
      <c r="A20" s="345"/>
      <c r="B20" s="346"/>
      <c r="C20" s="192"/>
      <c r="D20" s="197"/>
      <c r="E20" s="39"/>
      <c r="F20" s="40"/>
      <c r="G20" s="40">
        <f t="shared" si="5"/>
        <v>0</v>
      </c>
      <c r="H20" s="197"/>
      <c r="I20" s="39"/>
      <c r="J20" s="40"/>
      <c r="K20" s="40">
        <f t="shared" si="0"/>
        <v>0</v>
      </c>
      <c r="M20" s="39"/>
      <c r="N20" s="40"/>
      <c r="O20" s="40">
        <f t="shared" si="1"/>
        <v>0</v>
      </c>
      <c r="Q20" s="39"/>
      <c r="R20" s="40"/>
      <c r="S20" s="40">
        <f t="shared" si="2"/>
        <v>0</v>
      </c>
      <c r="U20" s="39"/>
      <c r="V20" s="40"/>
      <c r="W20" s="40">
        <f t="shared" si="3"/>
        <v>0</v>
      </c>
      <c r="Y20" s="39"/>
      <c r="Z20" s="40"/>
      <c r="AA20" s="40">
        <f t="shared" si="4"/>
        <v>0</v>
      </c>
    </row>
    <row r="21" spans="1:27">
      <c r="A21" s="345"/>
      <c r="B21" s="346" t="s">
        <v>978</v>
      </c>
      <c r="C21" s="328" t="s">
        <v>679</v>
      </c>
      <c r="D21" s="197"/>
      <c r="E21" s="39"/>
      <c r="F21" s="40"/>
      <c r="G21" s="40">
        <f t="shared" si="5"/>
        <v>0</v>
      </c>
      <c r="H21" s="197"/>
      <c r="I21" s="39"/>
      <c r="J21" s="40"/>
      <c r="K21" s="40">
        <f t="shared" si="0"/>
        <v>0</v>
      </c>
      <c r="M21" s="39"/>
      <c r="N21" s="40"/>
      <c r="O21" s="40">
        <f t="shared" si="1"/>
        <v>0</v>
      </c>
      <c r="Q21" s="39"/>
      <c r="R21" s="40"/>
      <c r="S21" s="40">
        <f t="shared" si="2"/>
        <v>0</v>
      </c>
      <c r="U21" s="39"/>
      <c r="V21" s="40"/>
      <c r="W21" s="40">
        <f t="shared" si="3"/>
        <v>0</v>
      </c>
      <c r="Y21" s="39"/>
      <c r="Z21" s="40"/>
      <c r="AA21" s="40">
        <f t="shared" si="4"/>
        <v>0</v>
      </c>
    </row>
    <row r="22" spans="1:27">
      <c r="A22" s="345"/>
      <c r="B22" s="346"/>
      <c r="C22" s="192"/>
      <c r="D22" s="197"/>
      <c r="E22" s="39"/>
      <c r="F22" s="40"/>
      <c r="G22" s="40">
        <f t="shared" si="5"/>
        <v>0</v>
      </c>
      <c r="H22" s="197"/>
      <c r="I22" s="39"/>
      <c r="J22" s="40"/>
      <c r="K22" s="40">
        <f t="shared" si="0"/>
        <v>0</v>
      </c>
      <c r="M22" s="39"/>
      <c r="N22" s="40"/>
      <c r="O22" s="40">
        <f t="shared" si="1"/>
        <v>0</v>
      </c>
      <c r="Q22" s="39"/>
      <c r="R22" s="40"/>
      <c r="S22" s="40">
        <f t="shared" si="2"/>
        <v>0</v>
      </c>
      <c r="U22" s="39"/>
      <c r="V22" s="40"/>
      <c r="W22" s="40">
        <f t="shared" si="3"/>
        <v>0</v>
      </c>
      <c r="Y22" s="39"/>
      <c r="Z22" s="40"/>
      <c r="AA22" s="40">
        <f t="shared" si="4"/>
        <v>0</v>
      </c>
    </row>
    <row r="23" spans="1:27">
      <c r="A23" s="345"/>
      <c r="B23" s="346"/>
      <c r="C23" s="192" t="s">
        <v>423</v>
      </c>
      <c r="D23" s="197"/>
      <c r="E23" s="39"/>
      <c r="F23" s="40"/>
      <c r="G23" s="40">
        <f t="shared" si="5"/>
        <v>0</v>
      </c>
      <c r="H23" s="197"/>
      <c r="I23" s="39"/>
      <c r="J23" s="40"/>
      <c r="K23" s="40">
        <f t="shared" si="0"/>
        <v>0</v>
      </c>
      <c r="M23" s="39"/>
      <c r="N23" s="40"/>
      <c r="O23" s="40">
        <f t="shared" si="1"/>
        <v>0</v>
      </c>
      <c r="Q23" s="39"/>
      <c r="R23" s="40"/>
      <c r="S23" s="40">
        <f t="shared" si="2"/>
        <v>0</v>
      </c>
      <c r="U23" s="39"/>
      <c r="V23" s="40"/>
      <c r="W23" s="40">
        <f t="shared" si="3"/>
        <v>0</v>
      </c>
      <c r="Y23" s="39"/>
      <c r="Z23" s="40"/>
      <c r="AA23" s="40">
        <f t="shared" si="4"/>
        <v>0</v>
      </c>
    </row>
    <row r="24" spans="1:27">
      <c r="A24" s="345"/>
      <c r="B24" s="346"/>
      <c r="C24" s="192" t="s">
        <v>680</v>
      </c>
      <c r="D24" s="197" t="s">
        <v>6</v>
      </c>
      <c r="E24" s="39"/>
      <c r="F24" s="40"/>
      <c r="G24" s="40">
        <f t="shared" si="5"/>
        <v>8669</v>
      </c>
      <c r="H24" s="197"/>
      <c r="I24" s="39">
        <v>1</v>
      </c>
      <c r="J24" s="40">
        <v>8669</v>
      </c>
      <c r="K24" s="40">
        <f t="shared" si="0"/>
        <v>8669</v>
      </c>
      <c r="M24" s="39"/>
      <c r="N24" s="40"/>
      <c r="O24" s="40">
        <f t="shared" si="1"/>
        <v>0</v>
      </c>
      <c r="Q24" s="39"/>
      <c r="R24" s="40"/>
      <c r="S24" s="40">
        <f t="shared" si="2"/>
        <v>0</v>
      </c>
      <c r="U24" s="39"/>
      <c r="V24" s="40"/>
      <c r="W24" s="40">
        <f t="shared" si="3"/>
        <v>0</v>
      </c>
      <c r="Y24" s="39"/>
      <c r="Z24" s="40"/>
      <c r="AA24" s="40">
        <f t="shared" si="4"/>
        <v>0</v>
      </c>
    </row>
    <row r="25" spans="1:27">
      <c r="A25" s="345"/>
      <c r="B25" s="346"/>
      <c r="C25" s="192"/>
      <c r="D25" s="197"/>
      <c r="E25" s="39"/>
      <c r="F25" s="40"/>
      <c r="G25" s="40">
        <f t="shared" si="5"/>
        <v>0</v>
      </c>
      <c r="H25" s="197"/>
      <c r="I25" s="39"/>
      <c r="J25" s="40"/>
      <c r="K25" s="40">
        <f t="shared" si="0"/>
        <v>0</v>
      </c>
      <c r="M25" s="39"/>
      <c r="N25" s="40"/>
      <c r="O25" s="40">
        <f t="shared" si="1"/>
        <v>0</v>
      </c>
      <c r="Q25" s="39"/>
      <c r="R25" s="40"/>
      <c r="S25" s="40">
        <f t="shared" si="2"/>
        <v>0</v>
      </c>
      <c r="U25" s="39"/>
      <c r="V25" s="40"/>
      <c r="W25" s="40">
        <f t="shared" si="3"/>
        <v>0</v>
      </c>
      <c r="Y25" s="39"/>
      <c r="Z25" s="40"/>
      <c r="AA25" s="40">
        <f t="shared" si="4"/>
        <v>0</v>
      </c>
    </row>
    <row r="26" spans="1:27">
      <c r="A26" s="345"/>
      <c r="B26" s="346" t="s">
        <v>979</v>
      </c>
      <c r="C26" s="328" t="s">
        <v>681</v>
      </c>
      <c r="D26" s="197"/>
      <c r="E26" s="39"/>
      <c r="F26" s="40"/>
      <c r="G26" s="40">
        <f t="shared" si="5"/>
        <v>0</v>
      </c>
      <c r="H26" s="197"/>
      <c r="I26" s="39"/>
      <c r="J26" s="40"/>
      <c r="K26" s="40">
        <f t="shared" si="0"/>
        <v>0</v>
      </c>
      <c r="M26" s="39"/>
      <c r="N26" s="40"/>
      <c r="O26" s="40">
        <f t="shared" si="1"/>
        <v>0</v>
      </c>
      <c r="Q26" s="39"/>
      <c r="R26" s="40"/>
      <c r="S26" s="40">
        <f t="shared" si="2"/>
        <v>0</v>
      </c>
      <c r="U26" s="39"/>
      <c r="V26" s="40"/>
      <c r="W26" s="40">
        <f t="shared" si="3"/>
        <v>0</v>
      </c>
      <c r="Y26" s="39"/>
      <c r="Z26" s="40"/>
      <c r="AA26" s="40">
        <f t="shared" si="4"/>
        <v>0</v>
      </c>
    </row>
    <row r="27" spans="1:27">
      <c r="A27" s="345"/>
      <c r="B27" s="346"/>
      <c r="C27" s="192" t="s">
        <v>980</v>
      </c>
      <c r="D27" s="197"/>
      <c r="E27" s="39"/>
      <c r="F27" s="40"/>
      <c r="G27" s="40">
        <f t="shared" si="5"/>
        <v>0</v>
      </c>
      <c r="H27" s="197"/>
      <c r="I27" s="39"/>
      <c r="J27" s="40"/>
      <c r="K27" s="40">
        <f t="shared" si="0"/>
        <v>0</v>
      </c>
      <c r="M27" s="39"/>
      <c r="N27" s="40"/>
      <c r="O27" s="40">
        <f t="shared" si="1"/>
        <v>0</v>
      </c>
      <c r="Q27" s="39">
        <v>0</v>
      </c>
      <c r="R27" s="40"/>
      <c r="S27" s="40">
        <f t="shared" si="2"/>
        <v>0</v>
      </c>
      <c r="U27" s="39">
        <v>0</v>
      </c>
      <c r="V27" s="40"/>
      <c r="W27" s="40">
        <f t="shared" si="3"/>
        <v>0</v>
      </c>
      <c r="Y27" s="39">
        <v>0</v>
      </c>
      <c r="Z27" s="40"/>
      <c r="AA27" s="40">
        <f t="shared" si="4"/>
        <v>0</v>
      </c>
    </row>
    <row r="28" spans="1:27">
      <c r="A28" s="345"/>
      <c r="B28" s="346"/>
      <c r="C28" s="192" t="s">
        <v>682</v>
      </c>
      <c r="D28" s="197"/>
      <c r="E28" s="39"/>
      <c r="F28" s="40"/>
      <c r="G28" s="40">
        <f t="shared" si="5"/>
        <v>2275</v>
      </c>
      <c r="H28" s="197"/>
      <c r="I28" s="39"/>
      <c r="J28" s="40"/>
      <c r="K28" s="40">
        <f t="shared" si="0"/>
        <v>0</v>
      </c>
      <c r="M28" s="39"/>
      <c r="N28" s="40"/>
      <c r="O28" s="40">
        <f t="shared" si="1"/>
        <v>0</v>
      </c>
      <c r="Q28" s="39"/>
      <c r="R28" s="40"/>
      <c r="S28" s="40">
        <f t="shared" si="2"/>
        <v>0</v>
      </c>
      <c r="U28" s="39">
        <v>3</v>
      </c>
      <c r="V28" s="40">
        <v>325</v>
      </c>
      <c r="W28" s="40">
        <f t="shared" si="3"/>
        <v>975</v>
      </c>
      <c r="Y28" s="39">
        <v>4</v>
      </c>
      <c r="Z28" s="40">
        <v>325</v>
      </c>
      <c r="AA28" s="40">
        <f t="shared" si="4"/>
        <v>1300</v>
      </c>
    </row>
    <row r="29" spans="1:27">
      <c r="A29" s="320"/>
      <c r="B29" s="321"/>
      <c r="C29" s="192"/>
      <c r="D29" s="197"/>
      <c r="E29" s="39"/>
      <c r="F29" s="40"/>
      <c r="G29" s="40">
        <f t="shared" si="5"/>
        <v>0</v>
      </c>
      <c r="H29" s="197"/>
      <c r="I29" s="39"/>
      <c r="J29" s="40"/>
      <c r="K29" s="40">
        <f t="shared" si="0"/>
        <v>0</v>
      </c>
      <c r="M29" s="39"/>
      <c r="N29" s="40"/>
      <c r="O29" s="40">
        <f t="shared" si="1"/>
        <v>0</v>
      </c>
      <c r="Q29" s="39"/>
      <c r="R29" s="40"/>
      <c r="S29" s="40">
        <f t="shared" si="2"/>
        <v>0</v>
      </c>
      <c r="U29" s="39"/>
      <c r="V29" s="40"/>
      <c r="W29" s="40">
        <f t="shared" si="3"/>
        <v>0</v>
      </c>
      <c r="Y29" s="39"/>
      <c r="Z29" s="40"/>
      <c r="AA29" s="40">
        <f t="shared" si="4"/>
        <v>0</v>
      </c>
    </row>
    <row r="30" spans="1:27">
      <c r="A30" s="320"/>
      <c r="B30" s="418"/>
      <c r="C30" s="192" t="s">
        <v>399</v>
      </c>
      <c r="D30" s="197"/>
      <c r="E30" s="39"/>
      <c r="F30" s="40"/>
      <c r="G30" s="40">
        <f t="shared" si="5"/>
        <v>0</v>
      </c>
      <c r="H30" s="197"/>
      <c r="I30" s="39"/>
      <c r="J30" s="40"/>
      <c r="K30" s="40">
        <f t="shared" si="0"/>
        <v>0</v>
      </c>
      <c r="M30" s="326"/>
      <c r="N30" s="40"/>
      <c r="O30" s="40">
        <f t="shared" si="1"/>
        <v>0</v>
      </c>
      <c r="Q30" s="326"/>
      <c r="R30" s="40"/>
      <c r="S30" s="40">
        <f t="shared" si="2"/>
        <v>0</v>
      </c>
      <c r="U30" s="326"/>
      <c r="V30" s="40"/>
      <c r="W30" s="40">
        <f t="shared" si="3"/>
        <v>0</v>
      </c>
      <c r="Y30" s="326"/>
      <c r="Z30" s="40"/>
      <c r="AA30" s="40">
        <f t="shared" si="4"/>
        <v>0</v>
      </c>
    </row>
    <row r="31" spans="1:27">
      <c r="A31" s="345"/>
      <c r="B31" s="346"/>
      <c r="C31" s="192" t="s">
        <v>400</v>
      </c>
      <c r="D31" s="197" t="s">
        <v>398</v>
      </c>
      <c r="E31" s="39"/>
      <c r="F31" s="40"/>
      <c r="G31" s="40">
        <f t="shared" si="5"/>
        <v>55888</v>
      </c>
      <c r="H31" s="197"/>
      <c r="I31" s="39"/>
      <c r="J31" s="40"/>
      <c r="K31" s="40">
        <f t="shared" si="0"/>
        <v>0</v>
      </c>
      <c r="M31" s="39">
        <v>15</v>
      </c>
      <c r="N31" s="40">
        <v>998</v>
      </c>
      <c r="O31" s="40">
        <f t="shared" si="1"/>
        <v>14970</v>
      </c>
      <c r="Q31" s="39">
        <v>18</v>
      </c>
      <c r="R31" s="40">
        <v>998</v>
      </c>
      <c r="S31" s="40">
        <f t="shared" si="2"/>
        <v>17964</v>
      </c>
      <c r="U31" s="39">
        <v>22</v>
      </c>
      <c r="V31" s="40">
        <v>998</v>
      </c>
      <c r="W31" s="40">
        <f t="shared" si="3"/>
        <v>21956</v>
      </c>
      <c r="Y31" s="39">
        <v>1</v>
      </c>
      <c r="Z31" s="40">
        <v>998</v>
      </c>
      <c r="AA31" s="40">
        <f t="shared" si="4"/>
        <v>998</v>
      </c>
    </row>
    <row r="32" spans="1:27">
      <c r="A32" s="345"/>
      <c r="B32" s="346"/>
      <c r="C32" s="192" t="s">
        <v>401</v>
      </c>
      <c r="D32" s="197" t="s">
        <v>398</v>
      </c>
      <c r="E32" s="39"/>
      <c r="F32" s="40"/>
      <c r="G32" s="40">
        <f t="shared" si="5"/>
        <v>4056</v>
      </c>
      <c r="H32" s="197"/>
      <c r="I32" s="39">
        <v>2</v>
      </c>
      <c r="J32" s="40">
        <v>1352</v>
      </c>
      <c r="K32" s="40">
        <f t="shared" si="0"/>
        <v>2704</v>
      </c>
      <c r="M32" s="39">
        <v>1</v>
      </c>
      <c r="N32" s="40">
        <v>1352</v>
      </c>
      <c r="O32" s="40">
        <f t="shared" si="1"/>
        <v>1352</v>
      </c>
      <c r="Q32" s="39"/>
      <c r="R32" s="40"/>
      <c r="S32" s="40">
        <f t="shared" si="2"/>
        <v>0</v>
      </c>
      <c r="U32" s="39"/>
      <c r="V32" s="40"/>
      <c r="W32" s="40">
        <f t="shared" si="3"/>
        <v>0</v>
      </c>
      <c r="Y32" s="39"/>
      <c r="Z32" s="40"/>
      <c r="AA32" s="40">
        <f t="shared" si="4"/>
        <v>0</v>
      </c>
    </row>
    <row r="33" spans="1:27">
      <c r="A33" s="345"/>
      <c r="B33" s="346"/>
      <c r="C33" s="192" t="s">
        <v>402</v>
      </c>
      <c r="D33" s="197" t="s">
        <v>398</v>
      </c>
      <c r="E33" s="39"/>
      <c r="F33" s="40"/>
      <c r="G33" s="40">
        <f t="shared" si="5"/>
        <v>21913</v>
      </c>
      <c r="H33" s="197"/>
      <c r="I33" s="39"/>
      <c r="J33" s="40"/>
      <c r="K33" s="40">
        <f t="shared" si="0"/>
        <v>0</v>
      </c>
      <c r="M33" s="39"/>
      <c r="N33" s="40"/>
      <c r="O33" s="40">
        <f t="shared" si="1"/>
        <v>0</v>
      </c>
      <c r="Q33" s="39">
        <v>1</v>
      </c>
      <c r="R33" s="40">
        <v>21913</v>
      </c>
      <c r="S33" s="40">
        <f t="shared" si="2"/>
        <v>21913</v>
      </c>
      <c r="U33" s="39"/>
      <c r="V33" s="40"/>
      <c r="W33" s="40">
        <f t="shared" si="3"/>
        <v>0</v>
      </c>
      <c r="Y33" s="39"/>
      <c r="Z33" s="40"/>
      <c r="AA33" s="40">
        <f t="shared" si="4"/>
        <v>0</v>
      </c>
    </row>
    <row r="34" spans="1:27">
      <c r="A34" s="345"/>
      <c r="B34" s="346"/>
      <c r="C34" s="192" t="s">
        <v>403</v>
      </c>
      <c r="D34" s="197" t="s">
        <v>398</v>
      </c>
      <c r="E34" s="39"/>
      <c r="F34" s="40"/>
      <c r="G34" s="40">
        <f t="shared" si="5"/>
        <v>11466</v>
      </c>
      <c r="H34" s="197"/>
      <c r="I34" s="39">
        <v>4</v>
      </c>
      <c r="J34" s="40">
        <v>49</v>
      </c>
      <c r="K34" s="40">
        <f t="shared" si="0"/>
        <v>196</v>
      </c>
      <c r="M34" s="39">
        <v>62</v>
      </c>
      <c r="N34" s="40">
        <v>49</v>
      </c>
      <c r="O34" s="40">
        <f t="shared" si="1"/>
        <v>3038</v>
      </c>
      <c r="Q34" s="39">
        <f>18*4+4</f>
        <v>76</v>
      </c>
      <c r="R34" s="40">
        <v>49</v>
      </c>
      <c r="S34" s="40">
        <f t="shared" si="2"/>
        <v>3724</v>
      </c>
      <c r="U34" s="39">
        <f>22*4</f>
        <v>88</v>
      </c>
      <c r="V34" s="40">
        <v>49</v>
      </c>
      <c r="W34" s="40">
        <f t="shared" si="3"/>
        <v>4312</v>
      </c>
      <c r="Y34" s="39">
        <v>4</v>
      </c>
      <c r="Z34" s="40">
        <v>49</v>
      </c>
      <c r="AA34" s="40">
        <f t="shared" si="4"/>
        <v>196</v>
      </c>
    </row>
    <row r="35" spans="1:27">
      <c r="A35" s="345"/>
      <c r="B35" s="346"/>
      <c r="C35" s="192" t="s">
        <v>404</v>
      </c>
      <c r="D35" s="197" t="s">
        <v>398</v>
      </c>
      <c r="E35" s="39"/>
      <c r="F35" s="40"/>
      <c r="G35" s="40">
        <f t="shared" si="5"/>
        <v>15561</v>
      </c>
      <c r="H35" s="197"/>
      <c r="I35" s="39">
        <v>2</v>
      </c>
      <c r="J35" s="40">
        <v>133</v>
      </c>
      <c r="K35" s="40">
        <f t="shared" si="0"/>
        <v>266</v>
      </c>
      <c r="M35" s="39">
        <v>31</v>
      </c>
      <c r="N35" s="40">
        <v>133</v>
      </c>
      <c r="O35" s="40">
        <f t="shared" si="1"/>
        <v>4123</v>
      </c>
      <c r="Q35" s="39">
        <v>38</v>
      </c>
      <c r="R35" s="40">
        <v>133</v>
      </c>
      <c r="S35" s="40">
        <f t="shared" si="2"/>
        <v>5054</v>
      </c>
      <c r="U35" s="39">
        <v>44</v>
      </c>
      <c r="V35" s="40">
        <v>133</v>
      </c>
      <c r="W35" s="40">
        <f t="shared" si="3"/>
        <v>5852</v>
      </c>
      <c r="Y35" s="39">
        <v>2</v>
      </c>
      <c r="Z35" s="40">
        <v>133</v>
      </c>
      <c r="AA35" s="40">
        <f t="shared" si="4"/>
        <v>266</v>
      </c>
    </row>
    <row r="36" spans="1:27">
      <c r="A36" s="345"/>
      <c r="B36" s="346"/>
      <c r="C36" s="192" t="s">
        <v>405</v>
      </c>
      <c r="D36" s="197" t="s">
        <v>398</v>
      </c>
      <c r="E36" s="39"/>
      <c r="F36" s="40"/>
      <c r="G36" s="40">
        <f t="shared" si="5"/>
        <v>55740</v>
      </c>
      <c r="H36" s="197"/>
      <c r="I36" s="39">
        <v>2</v>
      </c>
      <c r="J36" s="40">
        <v>929</v>
      </c>
      <c r="K36" s="40">
        <f t="shared" si="0"/>
        <v>1858</v>
      </c>
      <c r="M36" s="39">
        <v>16</v>
      </c>
      <c r="N36" s="40">
        <v>929</v>
      </c>
      <c r="O36" s="40">
        <f t="shared" si="1"/>
        <v>14864</v>
      </c>
      <c r="Q36" s="39">
        <v>19</v>
      </c>
      <c r="R36" s="40">
        <v>929</v>
      </c>
      <c r="S36" s="40">
        <f t="shared" si="2"/>
        <v>17651</v>
      </c>
      <c r="U36" s="39">
        <v>22</v>
      </c>
      <c r="V36" s="40">
        <v>929</v>
      </c>
      <c r="W36" s="40">
        <f t="shared" si="3"/>
        <v>20438</v>
      </c>
      <c r="Y36" s="39">
        <v>1</v>
      </c>
      <c r="Z36" s="40">
        <v>929</v>
      </c>
      <c r="AA36" s="40">
        <f t="shared" si="4"/>
        <v>929</v>
      </c>
    </row>
    <row r="37" spans="1:27">
      <c r="A37" s="345"/>
      <c r="B37" s="346"/>
      <c r="C37" s="192" t="s">
        <v>406</v>
      </c>
      <c r="D37" s="197" t="s">
        <v>6</v>
      </c>
      <c r="E37" s="39"/>
      <c r="F37" s="40"/>
      <c r="G37" s="40">
        <f t="shared" si="5"/>
        <v>12360</v>
      </c>
      <c r="H37" s="197"/>
      <c r="I37" s="39">
        <v>2</v>
      </c>
      <c r="J37" s="40">
        <v>206</v>
      </c>
      <c r="K37" s="40">
        <f t="shared" si="0"/>
        <v>412</v>
      </c>
      <c r="M37" s="39">
        <v>15</v>
      </c>
      <c r="N37" s="40">
        <v>206</v>
      </c>
      <c r="O37" s="40">
        <f t="shared" si="1"/>
        <v>3090</v>
      </c>
      <c r="Q37" s="39">
        <v>20</v>
      </c>
      <c r="R37" s="40">
        <v>206</v>
      </c>
      <c r="S37" s="40">
        <f t="shared" si="2"/>
        <v>4120</v>
      </c>
      <c r="U37" s="39">
        <v>22</v>
      </c>
      <c r="V37" s="40">
        <v>206</v>
      </c>
      <c r="W37" s="40">
        <f t="shared" si="3"/>
        <v>4532</v>
      </c>
      <c r="Y37" s="39">
        <v>1</v>
      </c>
      <c r="Z37" s="40">
        <v>206</v>
      </c>
      <c r="AA37" s="40">
        <f t="shared" si="4"/>
        <v>206</v>
      </c>
    </row>
    <row r="38" spans="1:27">
      <c r="A38" s="345"/>
      <c r="B38" s="346"/>
      <c r="C38" s="192"/>
      <c r="D38" s="197"/>
      <c r="E38" s="39"/>
      <c r="F38" s="40"/>
      <c r="G38" s="40">
        <f t="shared" si="5"/>
        <v>0</v>
      </c>
      <c r="H38" s="197"/>
      <c r="I38" s="39"/>
      <c r="J38" s="40"/>
      <c r="K38" s="40">
        <f t="shared" si="0"/>
        <v>0</v>
      </c>
      <c r="M38" s="39"/>
      <c r="N38" s="40"/>
      <c r="O38" s="40">
        <f t="shared" si="1"/>
        <v>0</v>
      </c>
      <c r="Q38" s="39"/>
      <c r="R38" s="40"/>
      <c r="S38" s="40">
        <f t="shared" si="2"/>
        <v>0</v>
      </c>
      <c r="U38" s="39"/>
      <c r="V38" s="40"/>
      <c r="W38" s="40">
        <f t="shared" si="3"/>
        <v>0</v>
      </c>
      <c r="Y38" s="39"/>
      <c r="Z38" s="40"/>
      <c r="AA38" s="40">
        <f t="shared" si="4"/>
        <v>0</v>
      </c>
    </row>
    <row r="39" spans="1:27">
      <c r="A39" s="345"/>
      <c r="B39" s="346" t="s">
        <v>981</v>
      </c>
      <c r="C39" s="328" t="s">
        <v>683</v>
      </c>
      <c r="D39" s="197"/>
      <c r="E39" s="39"/>
      <c r="F39" s="40"/>
      <c r="G39" s="40">
        <f t="shared" si="5"/>
        <v>0</v>
      </c>
      <c r="H39" s="197"/>
      <c r="I39" s="39"/>
      <c r="J39" s="40"/>
      <c r="K39" s="40">
        <f t="shared" si="0"/>
        <v>0</v>
      </c>
      <c r="M39" s="39"/>
      <c r="N39" s="40"/>
      <c r="O39" s="40">
        <f t="shared" si="1"/>
        <v>0</v>
      </c>
      <c r="Q39" s="39"/>
      <c r="R39" s="40"/>
      <c r="S39" s="40">
        <f t="shared" si="2"/>
        <v>0</v>
      </c>
      <c r="U39" s="39"/>
      <c r="V39" s="40"/>
      <c r="W39" s="40">
        <f t="shared" si="3"/>
        <v>0</v>
      </c>
      <c r="Y39" s="39"/>
      <c r="Z39" s="40"/>
      <c r="AA39" s="40">
        <f t="shared" si="4"/>
        <v>0</v>
      </c>
    </row>
    <row r="40" spans="1:27">
      <c r="A40" s="345"/>
      <c r="B40" s="346"/>
      <c r="C40" s="328" t="s">
        <v>982</v>
      </c>
      <c r="D40" s="197"/>
      <c r="E40" s="39"/>
      <c r="F40" s="40"/>
      <c r="G40" s="40">
        <f t="shared" si="5"/>
        <v>0</v>
      </c>
      <c r="H40" s="197"/>
      <c r="I40" s="39"/>
      <c r="J40" s="40"/>
      <c r="K40" s="40">
        <f t="shared" si="0"/>
        <v>0</v>
      </c>
      <c r="M40" s="39"/>
      <c r="N40" s="40"/>
      <c r="O40" s="40">
        <f t="shared" si="1"/>
        <v>0</v>
      </c>
      <c r="Q40" s="39"/>
      <c r="R40" s="40"/>
      <c r="S40" s="40">
        <f t="shared" si="2"/>
        <v>0</v>
      </c>
      <c r="U40" s="39"/>
      <c r="V40" s="40"/>
      <c r="W40" s="40">
        <f t="shared" si="3"/>
        <v>0</v>
      </c>
      <c r="Y40" s="39"/>
      <c r="Z40" s="40"/>
      <c r="AA40" s="40">
        <f t="shared" si="4"/>
        <v>0</v>
      </c>
    </row>
    <row r="41" spans="1:27">
      <c r="A41" s="345"/>
      <c r="B41" s="346"/>
      <c r="C41" s="192" t="s">
        <v>407</v>
      </c>
      <c r="D41" s="197" t="s">
        <v>397</v>
      </c>
      <c r="E41" s="39"/>
      <c r="F41" s="40"/>
      <c r="G41" s="40">
        <f t="shared" si="5"/>
        <v>18611.600000000002</v>
      </c>
      <c r="H41" s="197"/>
      <c r="I41" s="39"/>
      <c r="J41" s="40"/>
      <c r="K41" s="40">
        <f t="shared" si="0"/>
        <v>0</v>
      </c>
      <c r="M41" s="39">
        <v>184.8</v>
      </c>
      <c r="N41" s="40">
        <v>28</v>
      </c>
      <c r="O41" s="40">
        <f t="shared" si="1"/>
        <v>5174.4000000000005</v>
      </c>
      <c r="Q41" s="39">
        <v>203.7</v>
      </c>
      <c r="R41" s="40">
        <v>28</v>
      </c>
      <c r="S41" s="40">
        <f t="shared" si="2"/>
        <v>5703.5999999999995</v>
      </c>
      <c r="U41" s="39">
        <v>223.65</v>
      </c>
      <c r="V41" s="40">
        <v>28</v>
      </c>
      <c r="W41" s="40">
        <f t="shared" si="3"/>
        <v>6262.2</v>
      </c>
      <c r="Y41" s="39">
        <v>52.55</v>
      </c>
      <c r="Z41" s="40">
        <v>28</v>
      </c>
      <c r="AA41" s="40">
        <f t="shared" si="4"/>
        <v>1471.3999999999999</v>
      </c>
    </row>
    <row r="42" spans="1:27">
      <c r="A42" s="345"/>
      <c r="B42" s="346"/>
      <c r="C42" s="192" t="s">
        <v>408</v>
      </c>
      <c r="D42" s="197" t="s">
        <v>397</v>
      </c>
      <c r="E42" s="39"/>
      <c r="F42" s="40"/>
      <c r="G42" s="40">
        <f t="shared" si="5"/>
        <v>4267.2</v>
      </c>
      <c r="H42" s="197"/>
      <c r="I42" s="39"/>
      <c r="J42" s="40"/>
      <c r="K42" s="40">
        <f t="shared" si="0"/>
        <v>0</v>
      </c>
      <c r="M42" s="39">
        <v>91.35</v>
      </c>
      <c r="N42" s="40">
        <v>32</v>
      </c>
      <c r="O42" s="40">
        <f t="shared" si="1"/>
        <v>2923.2</v>
      </c>
      <c r="Q42" s="39">
        <v>23.1</v>
      </c>
      <c r="R42" s="40">
        <v>32</v>
      </c>
      <c r="S42" s="40">
        <f t="shared" si="2"/>
        <v>739.2</v>
      </c>
      <c r="U42" s="39">
        <v>18.899999999999999</v>
      </c>
      <c r="V42" s="40">
        <v>32</v>
      </c>
      <c r="W42" s="40">
        <f t="shared" si="3"/>
        <v>604.79999999999995</v>
      </c>
      <c r="Y42" s="39"/>
      <c r="Z42" s="40"/>
      <c r="AA42" s="40">
        <f t="shared" si="4"/>
        <v>0</v>
      </c>
    </row>
    <row r="43" spans="1:27">
      <c r="A43" s="345"/>
      <c r="B43" s="346"/>
      <c r="C43" s="192" t="s">
        <v>409</v>
      </c>
      <c r="D43" s="197" t="s">
        <v>397</v>
      </c>
      <c r="E43" s="39"/>
      <c r="F43" s="40"/>
      <c r="G43" s="40">
        <f t="shared" si="5"/>
        <v>2034.9</v>
      </c>
      <c r="H43" s="197"/>
      <c r="I43" s="39"/>
      <c r="J43" s="40"/>
      <c r="K43" s="40">
        <f t="shared" si="0"/>
        <v>0</v>
      </c>
      <c r="M43" s="39">
        <v>13.65</v>
      </c>
      <c r="N43" s="40">
        <v>38</v>
      </c>
      <c r="O43" s="40">
        <f t="shared" si="1"/>
        <v>518.70000000000005</v>
      </c>
      <c r="Q43" s="39"/>
      <c r="R43" s="40"/>
      <c r="S43" s="40">
        <f t="shared" si="2"/>
        <v>0</v>
      </c>
      <c r="U43" s="39">
        <v>39.9</v>
      </c>
      <c r="V43" s="40">
        <v>38</v>
      </c>
      <c r="W43" s="40">
        <f t="shared" si="3"/>
        <v>1516.2</v>
      </c>
      <c r="Y43" s="39"/>
      <c r="Z43" s="40"/>
      <c r="AA43" s="40">
        <f t="shared" si="4"/>
        <v>0</v>
      </c>
    </row>
    <row r="44" spans="1:27">
      <c r="A44" s="345"/>
      <c r="B44" s="346"/>
      <c r="C44" s="192" t="s">
        <v>410</v>
      </c>
      <c r="D44" s="197" t="s">
        <v>397</v>
      </c>
      <c r="E44" s="39"/>
      <c r="F44" s="40"/>
      <c r="G44" s="40">
        <f t="shared" si="5"/>
        <v>369.6</v>
      </c>
      <c r="H44" s="197"/>
      <c r="I44" s="39"/>
      <c r="J44" s="40"/>
      <c r="K44" s="40">
        <f t="shared" si="0"/>
        <v>0</v>
      </c>
      <c r="M44" s="39"/>
      <c r="N44" s="40"/>
      <c r="O44" s="40">
        <f t="shared" si="1"/>
        <v>0</v>
      </c>
      <c r="Q44" s="39"/>
      <c r="R44" s="40"/>
      <c r="S44" s="40">
        <f t="shared" si="2"/>
        <v>0</v>
      </c>
      <c r="U44" s="39">
        <v>8.4</v>
      </c>
      <c r="V44" s="40">
        <v>44</v>
      </c>
      <c r="W44" s="40">
        <f t="shared" si="3"/>
        <v>369.6</v>
      </c>
      <c r="Y44" s="39"/>
      <c r="Z44" s="40"/>
      <c r="AA44" s="40">
        <f t="shared" si="4"/>
        <v>0</v>
      </c>
    </row>
    <row r="45" spans="1:27">
      <c r="A45" s="345"/>
      <c r="B45" s="346"/>
      <c r="C45" s="192"/>
      <c r="D45" s="197"/>
      <c r="E45" s="39"/>
      <c r="F45" s="40"/>
      <c r="G45" s="40">
        <f t="shared" si="5"/>
        <v>0</v>
      </c>
      <c r="H45" s="197"/>
      <c r="I45" s="39"/>
      <c r="J45" s="40"/>
      <c r="K45" s="40">
        <f t="shared" si="0"/>
        <v>0</v>
      </c>
      <c r="M45" s="39"/>
      <c r="N45" s="40"/>
      <c r="O45" s="40">
        <f t="shared" si="1"/>
        <v>0</v>
      </c>
      <c r="Q45" s="39"/>
      <c r="R45" s="40"/>
      <c r="S45" s="40">
        <f t="shared" si="2"/>
        <v>0</v>
      </c>
      <c r="U45" s="39"/>
      <c r="V45" s="40"/>
      <c r="W45" s="40">
        <f t="shared" si="3"/>
        <v>0</v>
      </c>
      <c r="Y45" s="39"/>
      <c r="Z45" s="40"/>
      <c r="AA45" s="40">
        <f t="shared" si="4"/>
        <v>0</v>
      </c>
    </row>
    <row r="46" spans="1:27">
      <c r="A46" s="345"/>
      <c r="B46" s="346"/>
      <c r="C46" s="192" t="s">
        <v>414</v>
      </c>
      <c r="D46" s="197" t="s">
        <v>397</v>
      </c>
      <c r="E46" s="39"/>
      <c r="F46" s="40"/>
      <c r="G46" s="40">
        <f t="shared" si="5"/>
        <v>7740.0000000000009</v>
      </c>
      <c r="H46" s="197"/>
      <c r="I46" s="39"/>
      <c r="J46" s="40">
        <v>9</v>
      </c>
      <c r="K46" s="40">
        <f t="shared" si="0"/>
        <v>0</v>
      </c>
      <c r="M46" s="39">
        <v>289.8</v>
      </c>
      <c r="N46" s="40">
        <v>9</v>
      </c>
      <c r="O46" s="40">
        <f t="shared" si="1"/>
        <v>2608.2000000000003</v>
      </c>
      <c r="Q46" s="39">
        <v>226.8</v>
      </c>
      <c r="R46" s="40">
        <v>9</v>
      </c>
      <c r="S46" s="40">
        <f t="shared" si="2"/>
        <v>2041.2</v>
      </c>
      <c r="U46" s="39">
        <v>290.85000000000002</v>
      </c>
      <c r="V46" s="40">
        <v>9</v>
      </c>
      <c r="W46" s="40">
        <f t="shared" si="3"/>
        <v>2617.65</v>
      </c>
      <c r="Y46" s="39">
        <v>52.55</v>
      </c>
      <c r="Z46" s="40">
        <v>9</v>
      </c>
      <c r="AA46" s="40">
        <f t="shared" si="4"/>
        <v>472.95</v>
      </c>
    </row>
    <row r="47" spans="1:27">
      <c r="A47" s="345"/>
      <c r="B47" s="346"/>
      <c r="C47" s="192"/>
      <c r="D47" s="197"/>
      <c r="E47" s="39"/>
      <c r="F47" s="40"/>
      <c r="G47" s="40">
        <f t="shared" si="5"/>
        <v>0</v>
      </c>
      <c r="H47" s="197"/>
      <c r="I47" s="39"/>
      <c r="J47" s="40"/>
      <c r="K47" s="40">
        <f t="shared" si="0"/>
        <v>0</v>
      </c>
      <c r="M47" s="39"/>
      <c r="N47" s="40"/>
      <c r="O47" s="40">
        <f t="shared" si="1"/>
        <v>0</v>
      </c>
      <c r="Q47" s="39"/>
      <c r="R47" s="40"/>
      <c r="S47" s="40">
        <f t="shared" si="2"/>
        <v>0</v>
      </c>
      <c r="U47" s="39"/>
      <c r="V47" s="40"/>
      <c r="W47" s="40">
        <f t="shared" si="3"/>
        <v>0</v>
      </c>
      <c r="Y47" s="39"/>
      <c r="Z47" s="40"/>
      <c r="AA47" s="40">
        <f t="shared" si="4"/>
        <v>0</v>
      </c>
    </row>
    <row r="48" spans="1:27">
      <c r="A48" s="345"/>
      <c r="B48" s="346"/>
      <c r="C48" s="192" t="s">
        <v>983</v>
      </c>
      <c r="D48" s="197" t="s">
        <v>398</v>
      </c>
      <c r="E48" s="39"/>
      <c r="F48" s="40"/>
      <c r="G48" s="40">
        <f t="shared" si="5"/>
        <v>216</v>
      </c>
      <c r="H48" s="197"/>
      <c r="I48" s="39"/>
      <c r="J48" s="40"/>
      <c r="K48" s="40">
        <f t="shared" si="0"/>
        <v>0</v>
      </c>
      <c r="M48" s="39">
        <v>4</v>
      </c>
      <c r="N48" s="40">
        <v>27</v>
      </c>
      <c r="O48" s="40">
        <f t="shared" si="1"/>
        <v>108</v>
      </c>
      <c r="Q48" s="39"/>
      <c r="R48" s="40"/>
      <c r="S48" s="40">
        <f t="shared" si="2"/>
        <v>0</v>
      </c>
      <c r="U48" s="39">
        <v>2</v>
      </c>
      <c r="V48" s="40">
        <v>27</v>
      </c>
      <c r="W48" s="40">
        <f t="shared" si="3"/>
        <v>54</v>
      </c>
      <c r="Y48" s="39">
        <v>2</v>
      </c>
      <c r="Z48" s="40">
        <v>27</v>
      </c>
      <c r="AA48" s="40">
        <f t="shared" si="4"/>
        <v>54</v>
      </c>
    </row>
    <row r="49" spans="1:27">
      <c r="A49" s="345"/>
      <c r="B49" s="346"/>
      <c r="C49" s="192" t="s">
        <v>984</v>
      </c>
      <c r="D49" s="197" t="s">
        <v>398</v>
      </c>
      <c r="E49" s="39"/>
      <c r="F49" s="40"/>
      <c r="G49" s="40">
        <f t="shared" si="5"/>
        <v>116</v>
      </c>
      <c r="H49" s="197"/>
      <c r="I49" s="39"/>
      <c r="J49" s="40"/>
      <c r="K49" s="40">
        <f t="shared" si="0"/>
        <v>0</v>
      </c>
      <c r="M49" s="39">
        <v>4</v>
      </c>
      <c r="N49" s="40">
        <v>29</v>
      </c>
      <c r="O49" s="40">
        <f t="shared" si="1"/>
        <v>116</v>
      </c>
      <c r="Q49" s="39"/>
      <c r="R49" s="40"/>
      <c r="S49" s="40">
        <f t="shared" si="2"/>
        <v>0</v>
      </c>
      <c r="U49" s="39"/>
      <c r="V49" s="40"/>
      <c r="W49" s="40">
        <f t="shared" si="3"/>
        <v>0</v>
      </c>
      <c r="Y49" s="39"/>
      <c r="Z49" s="40"/>
      <c r="AA49" s="40">
        <f t="shared" si="4"/>
        <v>0</v>
      </c>
    </row>
    <row r="50" spans="1:27">
      <c r="A50" s="345"/>
      <c r="B50" s="346"/>
      <c r="C50" s="192" t="s">
        <v>985</v>
      </c>
      <c r="D50" s="197" t="s">
        <v>398</v>
      </c>
      <c r="E50" s="39"/>
      <c r="F50" s="40"/>
      <c r="G50" s="40">
        <f t="shared" si="5"/>
        <v>156</v>
      </c>
      <c r="H50" s="197"/>
      <c r="I50" s="39">
        <v>2</v>
      </c>
      <c r="J50" s="40">
        <v>39</v>
      </c>
      <c r="K50" s="40">
        <f t="shared" si="0"/>
        <v>78</v>
      </c>
      <c r="M50" s="39"/>
      <c r="N50" s="40"/>
      <c r="O50" s="40">
        <f t="shared" si="1"/>
        <v>0</v>
      </c>
      <c r="Q50" s="39"/>
      <c r="R50" s="40"/>
      <c r="S50" s="40">
        <f t="shared" si="2"/>
        <v>0</v>
      </c>
      <c r="U50" s="39">
        <v>2</v>
      </c>
      <c r="V50" s="40">
        <v>39</v>
      </c>
      <c r="W50" s="40">
        <f t="shared" si="3"/>
        <v>78</v>
      </c>
      <c r="Y50" s="39"/>
      <c r="Z50" s="40"/>
      <c r="AA50" s="40">
        <f t="shared" si="4"/>
        <v>0</v>
      </c>
    </row>
    <row r="51" spans="1:27">
      <c r="A51" s="345"/>
      <c r="B51" s="346"/>
      <c r="C51" s="192" t="s">
        <v>986</v>
      </c>
      <c r="D51" s="197" t="s">
        <v>398</v>
      </c>
      <c r="E51" s="39"/>
      <c r="F51" s="40"/>
      <c r="G51" s="40">
        <f t="shared" si="5"/>
        <v>249</v>
      </c>
      <c r="H51" s="197"/>
      <c r="I51" s="39"/>
      <c r="J51" s="40"/>
      <c r="K51" s="40">
        <f t="shared" si="0"/>
        <v>0</v>
      </c>
      <c r="M51" s="39">
        <v>1</v>
      </c>
      <c r="N51" s="40">
        <v>83</v>
      </c>
      <c r="O51" s="40">
        <f t="shared" si="1"/>
        <v>83</v>
      </c>
      <c r="Q51" s="39"/>
      <c r="R51" s="40"/>
      <c r="S51" s="40">
        <f t="shared" si="2"/>
        <v>0</v>
      </c>
      <c r="U51" s="39">
        <v>2</v>
      </c>
      <c r="V51" s="40">
        <v>83</v>
      </c>
      <c r="W51" s="40">
        <f t="shared" si="3"/>
        <v>166</v>
      </c>
      <c r="Y51" s="39"/>
      <c r="Z51" s="40"/>
      <c r="AA51" s="40">
        <f t="shared" si="4"/>
        <v>0</v>
      </c>
    </row>
    <row r="52" spans="1:27">
      <c r="A52" s="345"/>
      <c r="B52" s="346"/>
      <c r="C52" s="192"/>
      <c r="D52" s="197"/>
      <c r="E52" s="39"/>
      <c r="F52" s="40"/>
      <c r="G52" s="40">
        <f t="shared" si="5"/>
        <v>0</v>
      </c>
      <c r="H52" s="197"/>
      <c r="I52" s="39"/>
      <c r="J52" s="40"/>
      <c r="K52" s="40">
        <f t="shared" si="0"/>
        <v>0</v>
      </c>
      <c r="M52" s="39"/>
      <c r="N52" s="40"/>
      <c r="O52" s="40">
        <f t="shared" si="1"/>
        <v>0</v>
      </c>
      <c r="Q52" s="39"/>
      <c r="R52" s="40"/>
      <c r="S52" s="40">
        <f t="shared" si="2"/>
        <v>0</v>
      </c>
      <c r="U52" s="39"/>
      <c r="V52" s="40"/>
      <c r="W52" s="40">
        <f t="shared" si="3"/>
        <v>0</v>
      </c>
      <c r="Y52" s="39"/>
      <c r="Z52" s="40"/>
      <c r="AA52" s="40">
        <f t="shared" si="4"/>
        <v>0</v>
      </c>
    </row>
    <row r="53" spans="1:27">
      <c r="A53" s="345"/>
      <c r="B53" s="346"/>
      <c r="C53" s="328" t="s">
        <v>987</v>
      </c>
      <c r="D53" s="197"/>
      <c r="E53" s="39"/>
      <c r="F53" s="40"/>
      <c r="G53" s="40">
        <f t="shared" si="5"/>
        <v>0</v>
      </c>
      <c r="H53" s="197"/>
      <c r="I53" s="39"/>
      <c r="J53" s="40"/>
      <c r="K53" s="40">
        <f t="shared" si="0"/>
        <v>0</v>
      </c>
      <c r="M53" s="39"/>
      <c r="N53" s="40"/>
      <c r="O53" s="40">
        <f t="shared" si="1"/>
        <v>0</v>
      </c>
      <c r="Q53" s="39"/>
      <c r="R53" s="40"/>
      <c r="S53" s="40">
        <f t="shared" si="2"/>
        <v>0</v>
      </c>
      <c r="U53" s="39"/>
      <c r="V53" s="40"/>
      <c r="W53" s="40">
        <f t="shared" si="3"/>
        <v>0</v>
      </c>
      <c r="Y53" s="39"/>
      <c r="Z53" s="40"/>
      <c r="AA53" s="40">
        <f t="shared" si="4"/>
        <v>0</v>
      </c>
    </row>
    <row r="54" spans="1:27">
      <c r="A54" s="345"/>
      <c r="B54" s="346"/>
      <c r="C54" s="192" t="s">
        <v>408</v>
      </c>
      <c r="D54" s="197" t="s">
        <v>397</v>
      </c>
      <c r="E54" s="39"/>
      <c r="F54" s="40"/>
      <c r="G54" s="40">
        <f t="shared" si="5"/>
        <v>18768</v>
      </c>
      <c r="H54" s="197"/>
      <c r="I54" s="39"/>
      <c r="J54" s="40"/>
      <c r="K54" s="40">
        <f t="shared" si="0"/>
        <v>0</v>
      </c>
      <c r="M54" s="39">
        <v>148</v>
      </c>
      <c r="N54" s="40">
        <v>34</v>
      </c>
      <c r="O54" s="40">
        <f t="shared" si="1"/>
        <v>5032</v>
      </c>
      <c r="Q54" s="39">
        <v>133</v>
      </c>
      <c r="R54" s="40">
        <v>34</v>
      </c>
      <c r="S54" s="40">
        <f t="shared" si="2"/>
        <v>4522</v>
      </c>
      <c r="U54" s="39">
        <v>215</v>
      </c>
      <c r="V54" s="40">
        <v>34</v>
      </c>
      <c r="W54" s="40">
        <f t="shared" si="3"/>
        <v>7310</v>
      </c>
      <c r="Y54" s="39">
        <v>56</v>
      </c>
      <c r="Z54" s="40">
        <v>34</v>
      </c>
      <c r="AA54" s="40">
        <f t="shared" si="4"/>
        <v>1904</v>
      </c>
    </row>
    <row r="55" spans="1:27">
      <c r="A55" s="345"/>
      <c r="B55" s="346"/>
      <c r="C55" s="192" t="s">
        <v>409</v>
      </c>
      <c r="D55" s="197" t="s">
        <v>397</v>
      </c>
      <c r="E55" s="39"/>
      <c r="F55" s="40"/>
      <c r="G55" s="40">
        <f t="shared" si="5"/>
        <v>5120</v>
      </c>
      <c r="H55" s="197"/>
      <c r="I55" s="39">
        <v>14</v>
      </c>
      <c r="J55" s="40">
        <v>40</v>
      </c>
      <c r="K55" s="40">
        <f t="shared" si="0"/>
        <v>560</v>
      </c>
      <c r="M55" s="39">
        <v>32</v>
      </c>
      <c r="N55" s="40">
        <v>40</v>
      </c>
      <c r="O55" s="40">
        <f t="shared" si="1"/>
        <v>1280</v>
      </c>
      <c r="Q55" s="39">
        <v>58</v>
      </c>
      <c r="R55" s="40">
        <v>40</v>
      </c>
      <c r="S55" s="40">
        <f t="shared" si="2"/>
        <v>2320</v>
      </c>
      <c r="U55" s="39">
        <v>24</v>
      </c>
      <c r="V55" s="40">
        <v>40</v>
      </c>
      <c r="W55" s="40">
        <f t="shared" si="3"/>
        <v>960</v>
      </c>
      <c r="Y55" s="39"/>
      <c r="Z55" s="40"/>
      <c r="AA55" s="40">
        <f t="shared" si="4"/>
        <v>0</v>
      </c>
    </row>
    <row r="56" spans="1:27">
      <c r="A56" s="345"/>
      <c r="B56" s="346"/>
      <c r="C56" s="192" t="s">
        <v>410</v>
      </c>
      <c r="D56" s="197" t="s">
        <v>397</v>
      </c>
      <c r="E56" s="39"/>
      <c r="F56" s="40"/>
      <c r="G56" s="40">
        <f t="shared" si="5"/>
        <v>5428</v>
      </c>
      <c r="H56" s="197"/>
      <c r="I56" s="39"/>
      <c r="J56" s="40"/>
      <c r="K56" s="40">
        <f t="shared" si="0"/>
        <v>0</v>
      </c>
      <c r="M56" s="39">
        <v>69</v>
      </c>
      <c r="N56" s="40">
        <v>46</v>
      </c>
      <c r="O56" s="40">
        <f t="shared" si="1"/>
        <v>3174</v>
      </c>
      <c r="Q56" s="39">
        <v>37</v>
      </c>
      <c r="R56" s="40">
        <v>46</v>
      </c>
      <c r="S56" s="40">
        <f t="shared" si="2"/>
        <v>1702</v>
      </c>
      <c r="U56" s="39">
        <v>12</v>
      </c>
      <c r="V56" s="40">
        <v>46</v>
      </c>
      <c r="W56" s="40">
        <f t="shared" si="3"/>
        <v>552</v>
      </c>
      <c r="Y56" s="39"/>
      <c r="Z56" s="40"/>
      <c r="AA56" s="40">
        <f t="shared" si="4"/>
        <v>0</v>
      </c>
    </row>
    <row r="57" spans="1:27">
      <c r="A57" s="345"/>
      <c r="B57" s="346"/>
      <c r="C57" s="192" t="s">
        <v>411</v>
      </c>
      <c r="D57" s="197" t="s">
        <v>397</v>
      </c>
      <c r="E57" s="39"/>
      <c r="F57" s="40"/>
      <c r="G57" s="40">
        <f t="shared" si="5"/>
        <v>1855</v>
      </c>
      <c r="H57" s="197"/>
      <c r="I57" s="39"/>
      <c r="J57" s="40"/>
      <c r="K57" s="40">
        <f t="shared" si="0"/>
        <v>0</v>
      </c>
      <c r="M57" s="39">
        <v>17</v>
      </c>
      <c r="N57" s="40">
        <v>53</v>
      </c>
      <c r="O57" s="40">
        <f t="shared" si="1"/>
        <v>901</v>
      </c>
      <c r="Q57" s="39"/>
      <c r="R57" s="40"/>
      <c r="S57" s="40">
        <f t="shared" si="2"/>
        <v>0</v>
      </c>
      <c r="U57" s="39">
        <v>18</v>
      </c>
      <c r="V57" s="40">
        <v>53</v>
      </c>
      <c r="W57" s="40">
        <f t="shared" si="3"/>
        <v>954</v>
      </c>
      <c r="Y57" s="39"/>
      <c r="Z57" s="40"/>
      <c r="AA57" s="40">
        <f t="shared" si="4"/>
        <v>0</v>
      </c>
    </row>
    <row r="58" spans="1:27">
      <c r="A58" s="345"/>
      <c r="B58" s="346"/>
      <c r="C58" s="192" t="s">
        <v>412</v>
      </c>
      <c r="D58" s="197" t="s">
        <v>397</v>
      </c>
      <c r="E58" s="39"/>
      <c r="F58" s="40"/>
      <c r="G58" s="40">
        <f t="shared" si="5"/>
        <v>2356</v>
      </c>
      <c r="H58" s="197"/>
      <c r="I58" s="39"/>
      <c r="J58" s="40"/>
      <c r="K58" s="40">
        <f t="shared" si="0"/>
        <v>0</v>
      </c>
      <c r="M58" s="39">
        <v>10</v>
      </c>
      <c r="N58" s="40">
        <v>62</v>
      </c>
      <c r="O58" s="40">
        <f t="shared" si="1"/>
        <v>620</v>
      </c>
      <c r="Q58" s="39"/>
      <c r="R58" s="40"/>
      <c r="S58" s="40">
        <f t="shared" si="2"/>
        <v>0</v>
      </c>
      <c r="U58" s="39">
        <v>28</v>
      </c>
      <c r="V58" s="40">
        <v>62</v>
      </c>
      <c r="W58" s="40">
        <f t="shared" si="3"/>
        <v>1736</v>
      </c>
      <c r="Y58" s="39"/>
      <c r="Z58" s="40"/>
      <c r="AA58" s="40">
        <f t="shared" si="4"/>
        <v>0</v>
      </c>
    </row>
    <row r="59" spans="1:27">
      <c r="A59" s="345"/>
      <c r="B59" s="346"/>
      <c r="C59" s="192" t="s">
        <v>413</v>
      </c>
      <c r="D59" s="197" t="s">
        <v>397</v>
      </c>
      <c r="E59" s="39"/>
      <c r="F59" s="40"/>
      <c r="G59" s="40">
        <f t="shared" si="5"/>
        <v>6560</v>
      </c>
      <c r="H59" s="197"/>
      <c r="I59" s="39"/>
      <c r="J59" s="40"/>
      <c r="K59" s="40">
        <f t="shared" si="0"/>
        <v>0</v>
      </c>
      <c r="M59" s="39">
        <v>82</v>
      </c>
      <c r="N59" s="40">
        <v>80</v>
      </c>
      <c r="O59" s="40">
        <f t="shared" si="1"/>
        <v>6560</v>
      </c>
      <c r="Q59" s="39"/>
      <c r="R59" s="40"/>
      <c r="S59" s="40">
        <f t="shared" si="2"/>
        <v>0</v>
      </c>
      <c r="U59" s="39"/>
      <c r="V59" s="40"/>
      <c r="W59" s="40">
        <f t="shared" si="3"/>
        <v>0</v>
      </c>
      <c r="Y59" s="39"/>
      <c r="Z59" s="40"/>
      <c r="AA59" s="40">
        <f t="shared" si="4"/>
        <v>0</v>
      </c>
    </row>
    <row r="60" spans="1:27">
      <c r="A60" s="345"/>
      <c r="B60" s="346"/>
      <c r="C60" s="192" t="s">
        <v>988</v>
      </c>
      <c r="D60" s="197" t="s">
        <v>397</v>
      </c>
      <c r="E60" s="39"/>
      <c r="F60" s="40"/>
      <c r="G60" s="40">
        <f t="shared" si="5"/>
        <v>6528</v>
      </c>
      <c r="H60" s="197"/>
      <c r="I60" s="39">
        <v>64</v>
      </c>
      <c r="J60" s="40">
        <v>102</v>
      </c>
      <c r="K60" s="40">
        <f t="shared" si="0"/>
        <v>6528</v>
      </c>
      <c r="M60" s="39">
        <v>0</v>
      </c>
      <c r="N60" s="40">
        <v>102</v>
      </c>
      <c r="O60" s="40">
        <f t="shared" si="1"/>
        <v>0</v>
      </c>
      <c r="Q60" s="39"/>
      <c r="R60" s="40"/>
      <c r="S60" s="40">
        <f t="shared" si="2"/>
        <v>0</v>
      </c>
      <c r="U60" s="39"/>
      <c r="V60" s="40"/>
      <c r="W60" s="40">
        <f t="shared" si="3"/>
        <v>0</v>
      </c>
      <c r="Y60" s="39"/>
      <c r="Z60" s="40"/>
      <c r="AA60" s="40">
        <f t="shared" si="4"/>
        <v>0</v>
      </c>
    </row>
    <row r="61" spans="1:27">
      <c r="A61" s="345"/>
      <c r="B61" s="346"/>
      <c r="C61" s="328"/>
      <c r="D61" s="197"/>
      <c r="E61" s="39"/>
      <c r="F61" s="40"/>
      <c r="G61" s="40">
        <f t="shared" si="5"/>
        <v>0</v>
      </c>
      <c r="H61" s="197"/>
      <c r="I61" s="39"/>
      <c r="J61" s="40"/>
      <c r="K61" s="40">
        <f t="shared" si="0"/>
        <v>0</v>
      </c>
      <c r="M61" s="39"/>
      <c r="N61" s="40"/>
      <c r="O61" s="40">
        <f t="shared" si="1"/>
        <v>0</v>
      </c>
      <c r="Q61" s="39"/>
      <c r="R61" s="40"/>
      <c r="S61" s="40">
        <f t="shared" si="2"/>
        <v>0</v>
      </c>
      <c r="U61" s="39"/>
      <c r="V61" s="40"/>
      <c r="W61" s="40">
        <f t="shared" si="3"/>
        <v>0</v>
      </c>
      <c r="Y61" s="39"/>
      <c r="Z61" s="40"/>
      <c r="AA61" s="40">
        <f t="shared" si="4"/>
        <v>0</v>
      </c>
    </row>
    <row r="62" spans="1:27">
      <c r="A62" s="345"/>
      <c r="B62" s="346"/>
      <c r="C62" s="192" t="s">
        <v>414</v>
      </c>
      <c r="D62" s="197" t="s">
        <v>397</v>
      </c>
      <c r="E62" s="39"/>
      <c r="F62" s="40"/>
      <c r="G62" s="40">
        <f t="shared" si="5"/>
        <v>48816</v>
      </c>
      <c r="H62" s="197"/>
      <c r="I62" s="39">
        <v>78</v>
      </c>
      <c r="J62" s="40">
        <v>48</v>
      </c>
      <c r="K62" s="40">
        <f t="shared" si="0"/>
        <v>3744</v>
      </c>
      <c r="M62" s="39">
        <v>358</v>
      </c>
      <c r="N62" s="40">
        <v>48</v>
      </c>
      <c r="O62" s="40">
        <f t="shared" si="1"/>
        <v>17184</v>
      </c>
      <c r="Q62" s="39">
        <v>228</v>
      </c>
      <c r="R62" s="40">
        <v>48</v>
      </c>
      <c r="S62" s="40">
        <f t="shared" si="2"/>
        <v>10944</v>
      </c>
      <c r="U62" s="39">
        <v>297</v>
      </c>
      <c r="V62" s="40">
        <v>48</v>
      </c>
      <c r="W62" s="40">
        <f t="shared" si="3"/>
        <v>14256</v>
      </c>
      <c r="Y62" s="39">
        <v>56</v>
      </c>
      <c r="Z62" s="40">
        <v>48</v>
      </c>
      <c r="AA62" s="40">
        <f t="shared" si="4"/>
        <v>2688</v>
      </c>
    </row>
    <row r="63" spans="1:27">
      <c r="A63" s="345"/>
      <c r="B63" s="346"/>
      <c r="C63" s="328"/>
      <c r="D63" s="197"/>
      <c r="E63" s="39"/>
      <c r="F63" s="40"/>
      <c r="G63" s="40">
        <f t="shared" si="5"/>
        <v>0</v>
      </c>
      <c r="H63" s="197"/>
      <c r="I63" s="39"/>
      <c r="J63" s="40"/>
      <c r="K63" s="40">
        <f t="shared" si="0"/>
        <v>0</v>
      </c>
      <c r="M63" s="39"/>
      <c r="N63" s="40"/>
      <c r="O63" s="40">
        <f t="shared" si="1"/>
        <v>0</v>
      </c>
      <c r="Q63" s="39"/>
      <c r="R63" s="40"/>
      <c r="S63" s="40">
        <f t="shared" si="2"/>
        <v>0</v>
      </c>
      <c r="U63" s="39"/>
      <c r="V63" s="40"/>
      <c r="W63" s="40">
        <f t="shared" si="3"/>
        <v>0</v>
      </c>
      <c r="Y63" s="39"/>
      <c r="Z63" s="40"/>
      <c r="AA63" s="40">
        <f t="shared" si="4"/>
        <v>0</v>
      </c>
    </row>
    <row r="64" spans="1:27">
      <c r="A64" s="345"/>
      <c r="B64" s="346"/>
      <c r="C64" s="192" t="s">
        <v>984</v>
      </c>
      <c r="D64" s="197" t="s">
        <v>398</v>
      </c>
      <c r="E64" s="39"/>
      <c r="F64" s="40"/>
      <c r="G64" s="40">
        <f t="shared" si="5"/>
        <v>678</v>
      </c>
      <c r="H64" s="197"/>
      <c r="I64" s="39"/>
      <c r="J64" s="40">
        <v>113</v>
      </c>
      <c r="K64" s="40">
        <f t="shared" si="0"/>
        <v>0</v>
      </c>
      <c r="M64" s="39"/>
      <c r="N64" s="40"/>
      <c r="O64" s="40">
        <f t="shared" si="1"/>
        <v>0</v>
      </c>
      <c r="Q64" s="39">
        <v>2</v>
      </c>
      <c r="R64" s="40">
        <v>113</v>
      </c>
      <c r="S64" s="40">
        <f t="shared" si="2"/>
        <v>226</v>
      </c>
      <c r="U64" s="39">
        <v>2</v>
      </c>
      <c r="V64" s="40">
        <v>113</v>
      </c>
      <c r="W64" s="40">
        <f t="shared" si="3"/>
        <v>226</v>
      </c>
      <c r="Y64" s="39">
        <v>2</v>
      </c>
      <c r="Z64" s="40">
        <v>113</v>
      </c>
      <c r="AA64" s="40">
        <f t="shared" si="4"/>
        <v>226</v>
      </c>
    </row>
    <row r="65" spans="1:27" s="424" customFormat="1">
      <c r="A65" s="419"/>
      <c r="B65" s="420"/>
      <c r="C65" s="421" t="s">
        <v>985</v>
      </c>
      <c r="D65" s="422" t="s">
        <v>398</v>
      </c>
      <c r="E65" s="423"/>
      <c r="F65" s="368"/>
      <c r="G65" s="40">
        <f t="shared" si="5"/>
        <v>256</v>
      </c>
      <c r="H65" s="422"/>
      <c r="I65" s="423"/>
      <c r="J65" s="368">
        <v>128</v>
      </c>
      <c r="K65" s="368">
        <f t="shared" si="0"/>
        <v>0</v>
      </c>
      <c r="M65" s="423">
        <v>2</v>
      </c>
      <c r="N65" s="40">
        <v>128</v>
      </c>
      <c r="O65" s="40">
        <f t="shared" si="1"/>
        <v>256</v>
      </c>
      <c r="Q65" s="423"/>
      <c r="R65" s="40"/>
      <c r="S65" s="40">
        <f t="shared" si="2"/>
        <v>0</v>
      </c>
      <c r="U65" s="423"/>
      <c r="V65" s="368"/>
      <c r="W65" s="40">
        <f t="shared" si="3"/>
        <v>0</v>
      </c>
      <c r="Y65" s="423"/>
      <c r="Z65" s="368"/>
      <c r="AA65" s="40">
        <f t="shared" si="4"/>
        <v>0</v>
      </c>
    </row>
    <row r="66" spans="1:27">
      <c r="A66" s="345"/>
      <c r="B66" s="346"/>
      <c r="C66" s="192" t="s">
        <v>989</v>
      </c>
      <c r="D66" s="197" t="s">
        <v>398</v>
      </c>
      <c r="E66" s="39"/>
      <c r="F66" s="40"/>
      <c r="G66" s="40">
        <f t="shared" si="5"/>
        <v>800</v>
      </c>
      <c r="H66" s="197"/>
      <c r="I66" s="39"/>
      <c r="J66" s="40">
        <v>100</v>
      </c>
      <c r="K66" s="40">
        <f t="shared" si="0"/>
        <v>0</v>
      </c>
      <c r="M66" s="39">
        <v>4</v>
      </c>
      <c r="N66" s="40">
        <v>100</v>
      </c>
      <c r="O66" s="40">
        <f t="shared" si="1"/>
        <v>400</v>
      </c>
      <c r="Q66" s="39">
        <v>4</v>
      </c>
      <c r="R66" s="40">
        <v>100</v>
      </c>
      <c r="S66" s="40">
        <f t="shared" si="2"/>
        <v>400</v>
      </c>
      <c r="U66" s="39"/>
      <c r="V66" s="40"/>
      <c r="W66" s="40">
        <f t="shared" si="3"/>
        <v>0</v>
      </c>
      <c r="Y66" s="39"/>
      <c r="Z66" s="40"/>
      <c r="AA66" s="40">
        <f t="shared" si="4"/>
        <v>0</v>
      </c>
    </row>
    <row r="67" spans="1:27">
      <c r="A67" s="345"/>
      <c r="B67" s="346"/>
      <c r="C67" s="192" t="s">
        <v>990</v>
      </c>
      <c r="D67" s="197" t="s">
        <v>398</v>
      </c>
      <c r="E67" s="39"/>
      <c r="F67" s="40"/>
      <c r="G67" s="40">
        <f t="shared" si="5"/>
        <v>0</v>
      </c>
      <c r="H67" s="197"/>
      <c r="I67" s="39"/>
      <c r="J67" s="40"/>
      <c r="K67" s="40">
        <f t="shared" si="0"/>
        <v>0</v>
      </c>
      <c r="M67" s="39"/>
      <c r="N67" s="40"/>
      <c r="O67" s="40">
        <f t="shared" si="1"/>
        <v>0</v>
      </c>
      <c r="Q67" s="39"/>
      <c r="R67" s="40"/>
      <c r="S67" s="40">
        <f t="shared" si="2"/>
        <v>0</v>
      </c>
      <c r="U67" s="39"/>
      <c r="V67" s="40"/>
      <c r="W67" s="40">
        <f t="shared" si="3"/>
        <v>0</v>
      </c>
      <c r="Y67" s="39"/>
      <c r="Z67" s="40"/>
      <c r="AA67" s="40">
        <f t="shared" si="4"/>
        <v>0</v>
      </c>
    </row>
    <row r="68" spans="1:27">
      <c r="A68" s="345"/>
      <c r="B68" s="346"/>
      <c r="C68" s="192" t="s">
        <v>991</v>
      </c>
      <c r="D68" s="197" t="s">
        <v>398</v>
      </c>
      <c r="E68" s="39"/>
      <c r="F68" s="40"/>
      <c r="G68" s="40">
        <f t="shared" si="5"/>
        <v>736</v>
      </c>
      <c r="H68" s="197"/>
      <c r="I68" s="39"/>
      <c r="J68" s="40">
        <v>184</v>
      </c>
      <c r="K68" s="40">
        <f t="shared" si="0"/>
        <v>0</v>
      </c>
      <c r="M68" s="39">
        <v>2</v>
      </c>
      <c r="N68" s="40">
        <v>184</v>
      </c>
      <c r="O68" s="40">
        <f t="shared" si="1"/>
        <v>368</v>
      </c>
      <c r="Q68" s="39"/>
      <c r="R68" s="40"/>
      <c r="S68" s="40">
        <f t="shared" si="2"/>
        <v>0</v>
      </c>
      <c r="U68" s="39">
        <v>2</v>
      </c>
      <c r="V68" s="40">
        <v>184</v>
      </c>
      <c r="W68" s="40">
        <f t="shared" si="3"/>
        <v>368</v>
      </c>
      <c r="Y68" s="39"/>
      <c r="Z68" s="40"/>
      <c r="AA68" s="40">
        <f t="shared" si="4"/>
        <v>0</v>
      </c>
    </row>
    <row r="69" spans="1:27">
      <c r="A69" s="345"/>
      <c r="B69" s="346"/>
      <c r="C69" s="192" t="s">
        <v>992</v>
      </c>
      <c r="D69" s="197" t="s">
        <v>398</v>
      </c>
      <c r="E69" s="39"/>
      <c r="F69" s="40"/>
      <c r="G69" s="40">
        <f t="shared" si="5"/>
        <v>1004</v>
      </c>
      <c r="H69" s="197"/>
      <c r="I69" s="39"/>
      <c r="J69" s="40"/>
      <c r="K69" s="40">
        <f t="shared" si="0"/>
        <v>0</v>
      </c>
      <c r="M69" s="39">
        <v>4</v>
      </c>
      <c r="N69" s="40">
        <v>251</v>
      </c>
      <c r="O69" s="40">
        <f t="shared" si="1"/>
        <v>1004</v>
      </c>
      <c r="Q69" s="39"/>
      <c r="R69" s="40"/>
      <c r="S69" s="40">
        <f t="shared" si="2"/>
        <v>0</v>
      </c>
      <c r="U69" s="39"/>
      <c r="V69" s="40"/>
      <c r="W69" s="40">
        <f t="shared" si="3"/>
        <v>0</v>
      </c>
      <c r="Y69" s="39"/>
      <c r="Z69" s="40"/>
      <c r="AA69" s="40">
        <f t="shared" si="4"/>
        <v>0</v>
      </c>
    </row>
    <row r="70" spans="1:27">
      <c r="A70" s="345"/>
      <c r="B70" s="346"/>
      <c r="C70" s="192"/>
      <c r="D70" s="197"/>
      <c r="E70" s="39"/>
      <c r="F70" s="40"/>
      <c r="G70" s="40">
        <f t="shared" si="5"/>
        <v>0</v>
      </c>
      <c r="H70" s="197"/>
      <c r="I70" s="39"/>
      <c r="J70" s="40"/>
      <c r="K70" s="40">
        <f t="shared" si="0"/>
        <v>0</v>
      </c>
      <c r="M70" s="39"/>
      <c r="N70" s="40"/>
      <c r="O70" s="40">
        <f t="shared" ref="O70:O133" si="6">M70*N70</f>
        <v>0</v>
      </c>
      <c r="Q70" s="39"/>
      <c r="R70" s="40"/>
      <c r="S70" s="40">
        <f t="shared" si="2"/>
        <v>0</v>
      </c>
      <c r="U70" s="39"/>
      <c r="V70" s="40"/>
      <c r="W70" s="40">
        <f t="shared" si="3"/>
        <v>0</v>
      </c>
      <c r="Y70" s="39"/>
      <c r="Z70" s="40"/>
      <c r="AA70" s="40">
        <f t="shared" si="4"/>
        <v>0</v>
      </c>
    </row>
    <row r="71" spans="1:27">
      <c r="A71" s="345"/>
      <c r="B71" s="346" t="s">
        <v>993</v>
      </c>
      <c r="C71" s="328" t="s">
        <v>415</v>
      </c>
      <c r="D71" s="197"/>
      <c r="E71" s="39"/>
      <c r="F71" s="40"/>
      <c r="G71" s="40">
        <f t="shared" si="5"/>
        <v>0</v>
      </c>
      <c r="H71" s="197"/>
      <c r="I71" s="39"/>
      <c r="J71" s="40"/>
      <c r="K71" s="40">
        <f t="shared" si="0"/>
        <v>0</v>
      </c>
      <c r="M71" s="326"/>
      <c r="N71" s="40"/>
      <c r="O71" s="40">
        <f t="shared" si="6"/>
        <v>0</v>
      </c>
      <c r="Q71" s="326"/>
      <c r="R71" s="40"/>
      <c r="S71" s="40">
        <f t="shared" si="2"/>
        <v>0</v>
      </c>
      <c r="U71" s="326"/>
      <c r="V71" s="40"/>
      <c r="W71" s="40">
        <f t="shared" si="3"/>
        <v>0</v>
      </c>
      <c r="Y71" s="326"/>
      <c r="Z71" s="40"/>
      <c r="AA71" s="40">
        <f t="shared" si="4"/>
        <v>0</v>
      </c>
    </row>
    <row r="72" spans="1:27">
      <c r="A72" s="345"/>
      <c r="B72" s="346"/>
      <c r="C72" s="328" t="s">
        <v>416</v>
      </c>
      <c r="D72" s="197"/>
      <c r="E72" s="39"/>
      <c r="F72" s="40"/>
      <c r="G72" s="40">
        <f t="shared" si="5"/>
        <v>0</v>
      </c>
      <c r="H72" s="197"/>
      <c r="I72" s="39"/>
      <c r="J72" s="40"/>
      <c r="K72" s="40">
        <f t="shared" ref="K72:K138" si="7">I72*J72</f>
        <v>0</v>
      </c>
      <c r="M72" s="39"/>
      <c r="N72" s="40"/>
      <c r="O72" s="40">
        <f t="shared" si="6"/>
        <v>0</v>
      </c>
      <c r="Q72" s="39"/>
      <c r="R72" s="40"/>
      <c r="S72" s="40">
        <f t="shared" ref="S72:S135" si="8">Q72*R72</f>
        <v>0</v>
      </c>
      <c r="U72" s="39"/>
      <c r="V72" s="40"/>
      <c r="W72" s="40">
        <f t="shared" ref="W72:W135" si="9">U72*V72</f>
        <v>0</v>
      </c>
      <c r="Y72" s="39"/>
      <c r="Z72" s="40"/>
      <c r="AA72" s="40">
        <f t="shared" ref="AA72:AA135" si="10">Y72*Z72</f>
        <v>0</v>
      </c>
    </row>
    <row r="73" spans="1:27">
      <c r="A73" s="345"/>
      <c r="B73" s="346"/>
      <c r="C73" s="192" t="s">
        <v>994</v>
      </c>
      <c r="D73" s="197" t="s">
        <v>6</v>
      </c>
      <c r="E73" s="39"/>
      <c r="F73" s="40"/>
      <c r="G73" s="40">
        <f t="shared" si="5"/>
        <v>1074</v>
      </c>
      <c r="H73" s="197"/>
      <c r="I73" s="39">
        <v>1</v>
      </c>
      <c r="J73" s="40">
        <v>358</v>
      </c>
      <c r="K73" s="40">
        <f t="shared" si="7"/>
        <v>358</v>
      </c>
      <c r="M73" s="39">
        <v>2</v>
      </c>
      <c r="N73" s="40">
        <v>358</v>
      </c>
      <c r="O73" s="40">
        <f t="shared" si="6"/>
        <v>716</v>
      </c>
      <c r="Q73" s="39">
        <v>0</v>
      </c>
      <c r="R73" s="40"/>
      <c r="S73" s="40">
        <f t="shared" si="8"/>
        <v>0</v>
      </c>
      <c r="U73" s="39"/>
      <c r="V73" s="40"/>
      <c r="W73" s="40">
        <f t="shared" si="9"/>
        <v>0</v>
      </c>
      <c r="Y73" s="39"/>
      <c r="Z73" s="40"/>
      <c r="AA73" s="40">
        <f t="shared" si="10"/>
        <v>0</v>
      </c>
    </row>
    <row r="74" spans="1:27">
      <c r="A74" s="345"/>
      <c r="B74" s="346"/>
      <c r="C74" s="192" t="s">
        <v>417</v>
      </c>
      <c r="D74" s="197" t="s">
        <v>6</v>
      </c>
      <c r="E74" s="39"/>
      <c r="F74" s="40"/>
      <c r="G74" s="40">
        <f t="shared" si="5"/>
        <v>18744</v>
      </c>
      <c r="H74" s="197"/>
      <c r="I74" s="39">
        <v>2</v>
      </c>
      <c r="J74" s="40">
        <v>3124</v>
      </c>
      <c r="K74" s="40">
        <f t="shared" si="7"/>
        <v>6248</v>
      </c>
      <c r="M74" s="39">
        <v>4</v>
      </c>
      <c r="N74" s="40">
        <v>3124</v>
      </c>
      <c r="O74" s="40">
        <f t="shared" si="6"/>
        <v>12496</v>
      </c>
      <c r="Q74" s="39">
        <v>0</v>
      </c>
      <c r="R74" s="40"/>
      <c r="S74" s="40">
        <f t="shared" si="8"/>
        <v>0</v>
      </c>
      <c r="U74" s="39"/>
      <c r="V74" s="40"/>
      <c r="W74" s="40">
        <f t="shared" si="9"/>
        <v>0</v>
      </c>
      <c r="Y74" s="39"/>
      <c r="Z74" s="40"/>
      <c r="AA74" s="40">
        <f t="shared" si="10"/>
        <v>0</v>
      </c>
    </row>
    <row r="75" spans="1:27">
      <c r="A75" s="345"/>
      <c r="B75" s="346"/>
      <c r="C75" s="192"/>
      <c r="D75" s="197"/>
      <c r="E75" s="39"/>
      <c r="F75" s="40"/>
      <c r="G75" s="40">
        <f t="shared" si="5"/>
        <v>0</v>
      </c>
      <c r="H75" s="197"/>
      <c r="I75" s="39"/>
      <c r="J75" s="40"/>
      <c r="K75" s="40">
        <f t="shared" si="7"/>
        <v>0</v>
      </c>
      <c r="M75" s="39"/>
      <c r="N75" s="40"/>
      <c r="O75" s="40">
        <f t="shared" si="6"/>
        <v>0</v>
      </c>
      <c r="Q75" s="39"/>
      <c r="R75" s="40"/>
      <c r="S75" s="40">
        <f t="shared" si="8"/>
        <v>0</v>
      </c>
      <c r="U75" s="39"/>
      <c r="V75" s="40"/>
      <c r="W75" s="40">
        <f t="shared" si="9"/>
        <v>0</v>
      </c>
      <c r="Y75" s="39"/>
      <c r="Z75" s="40"/>
      <c r="AA75" s="40">
        <f t="shared" si="10"/>
        <v>0</v>
      </c>
    </row>
    <row r="76" spans="1:27">
      <c r="A76" s="345"/>
      <c r="B76" s="346"/>
      <c r="C76" s="328" t="s">
        <v>418</v>
      </c>
      <c r="D76" s="197"/>
      <c r="E76" s="39"/>
      <c r="F76" s="40"/>
      <c r="G76" s="40">
        <f t="shared" ref="G76:G139" si="11">K76+O76+S76+W76+AA76</f>
        <v>0</v>
      </c>
      <c r="H76" s="197"/>
      <c r="I76" s="39"/>
      <c r="J76" s="40"/>
      <c r="K76" s="40">
        <f t="shared" si="7"/>
        <v>0</v>
      </c>
      <c r="M76" s="39"/>
      <c r="N76" s="40"/>
      <c r="O76" s="40">
        <f t="shared" si="6"/>
        <v>0</v>
      </c>
      <c r="Q76" s="39"/>
      <c r="R76" s="40"/>
      <c r="S76" s="40">
        <f t="shared" si="8"/>
        <v>0</v>
      </c>
      <c r="U76" s="39"/>
      <c r="V76" s="40"/>
      <c r="W76" s="40">
        <f t="shared" si="9"/>
        <v>0</v>
      </c>
      <c r="Y76" s="39"/>
      <c r="Z76" s="40"/>
      <c r="AA76" s="40">
        <f t="shared" si="10"/>
        <v>0</v>
      </c>
    </row>
    <row r="77" spans="1:27">
      <c r="A77" s="345"/>
      <c r="B77" s="346"/>
      <c r="C77" s="192" t="s">
        <v>419</v>
      </c>
      <c r="D77" s="197" t="s">
        <v>398</v>
      </c>
      <c r="E77" s="39"/>
      <c r="F77" s="40"/>
      <c r="G77" s="40">
        <f t="shared" si="11"/>
        <v>1120</v>
      </c>
      <c r="H77" s="197"/>
      <c r="I77" s="39"/>
      <c r="J77" s="40"/>
      <c r="K77" s="40">
        <f t="shared" si="7"/>
        <v>0</v>
      </c>
      <c r="M77" s="39"/>
      <c r="N77" s="40"/>
      <c r="O77" s="40">
        <f t="shared" si="6"/>
        <v>0</v>
      </c>
      <c r="Q77" s="39"/>
      <c r="R77" s="40"/>
      <c r="S77" s="40">
        <f t="shared" si="8"/>
        <v>0</v>
      </c>
      <c r="U77" s="39">
        <v>40</v>
      </c>
      <c r="V77" s="40">
        <v>28</v>
      </c>
      <c r="W77" s="40">
        <f t="shared" si="9"/>
        <v>1120</v>
      </c>
      <c r="Y77" s="39"/>
      <c r="Z77" s="40"/>
      <c r="AA77" s="40">
        <f t="shared" si="10"/>
        <v>0</v>
      </c>
    </row>
    <row r="78" spans="1:27">
      <c r="A78" s="345"/>
      <c r="B78" s="346"/>
      <c r="C78" s="192" t="s">
        <v>420</v>
      </c>
      <c r="D78" s="197" t="s">
        <v>398</v>
      </c>
      <c r="E78" s="39"/>
      <c r="F78" s="40"/>
      <c r="G78" s="40">
        <f t="shared" si="11"/>
        <v>4200</v>
      </c>
      <c r="H78" s="197"/>
      <c r="I78" s="39"/>
      <c r="J78" s="40"/>
      <c r="K78" s="40">
        <f t="shared" si="7"/>
        <v>0</v>
      </c>
      <c r="M78" s="39"/>
      <c r="N78" s="40"/>
      <c r="O78" s="40">
        <f t="shared" si="6"/>
        <v>0</v>
      </c>
      <c r="Q78" s="39"/>
      <c r="R78" s="40"/>
      <c r="S78" s="40">
        <f t="shared" si="8"/>
        <v>0</v>
      </c>
      <c r="U78" s="39">
        <v>21</v>
      </c>
      <c r="V78" s="40">
        <v>200</v>
      </c>
      <c r="W78" s="40">
        <f t="shared" si="9"/>
        <v>4200</v>
      </c>
      <c r="Y78" s="39"/>
      <c r="Z78" s="40"/>
      <c r="AA78" s="40">
        <f t="shared" si="10"/>
        <v>0</v>
      </c>
    </row>
    <row r="79" spans="1:27">
      <c r="A79" s="345"/>
      <c r="B79" s="346"/>
      <c r="C79" s="192" t="s">
        <v>421</v>
      </c>
      <c r="D79" s="197" t="s">
        <v>398</v>
      </c>
      <c r="E79" s="39"/>
      <c r="F79" s="40"/>
      <c r="G79" s="40">
        <f t="shared" si="11"/>
        <v>328</v>
      </c>
      <c r="H79" s="197"/>
      <c r="I79" s="39"/>
      <c r="J79" s="40"/>
      <c r="K79" s="40">
        <f t="shared" si="7"/>
        <v>0</v>
      </c>
      <c r="M79" s="39"/>
      <c r="N79" s="40"/>
      <c r="O79" s="40">
        <f t="shared" si="6"/>
        <v>0</v>
      </c>
      <c r="Q79" s="39"/>
      <c r="R79" s="40"/>
      <c r="S79" s="40">
        <f t="shared" si="8"/>
        <v>0</v>
      </c>
      <c r="U79" s="39">
        <v>8</v>
      </c>
      <c r="V79" s="40">
        <v>41</v>
      </c>
      <c r="W79" s="40">
        <f t="shared" si="9"/>
        <v>328</v>
      </c>
      <c r="Y79" s="39"/>
      <c r="Z79" s="40"/>
      <c r="AA79" s="40">
        <f t="shared" si="10"/>
        <v>0</v>
      </c>
    </row>
    <row r="80" spans="1:27">
      <c r="A80" s="345"/>
      <c r="B80" s="346"/>
      <c r="C80" s="333" t="s">
        <v>422</v>
      </c>
      <c r="D80" s="197" t="s">
        <v>397</v>
      </c>
      <c r="E80" s="39"/>
      <c r="F80" s="40"/>
      <c r="G80" s="40">
        <f t="shared" si="11"/>
        <v>546</v>
      </c>
      <c r="H80" s="197"/>
      <c r="I80" s="39"/>
      <c r="J80" s="40"/>
      <c r="K80" s="40">
        <f t="shared" si="7"/>
        <v>0</v>
      </c>
      <c r="M80" s="39"/>
      <c r="N80" s="40"/>
      <c r="O80" s="40">
        <f t="shared" si="6"/>
        <v>0</v>
      </c>
      <c r="Q80" s="39"/>
      <c r="R80" s="40"/>
      <c r="S80" s="40">
        <f t="shared" si="8"/>
        <v>0</v>
      </c>
      <c r="U80" s="39">
        <v>13</v>
      </c>
      <c r="V80" s="40">
        <v>42</v>
      </c>
      <c r="W80" s="40">
        <f t="shared" si="9"/>
        <v>546</v>
      </c>
      <c r="Y80" s="39"/>
      <c r="Z80" s="40"/>
      <c r="AA80" s="40">
        <f t="shared" si="10"/>
        <v>0</v>
      </c>
    </row>
    <row r="81" spans="1:27">
      <c r="A81" s="345"/>
      <c r="B81" s="346"/>
      <c r="C81" s="333" t="s">
        <v>455</v>
      </c>
      <c r="D81" s="197" t="s">
        <v>397</v>
      </c>
      <c r="E81" s="39"/>
      <c r="F81" s="40"/>
      <c r="G81" s="40">
        <f t="shared" si="11"/>
        <v>5123</v>
      </c>
      <c r="H81" s="197"/>
      <c r="I81" s="39"/>
      <c r="J81" s="40"/>
      <c r="K81" s="40">
        <f t="shared" si="7"/>
        <v>0</v>
      </c>
      <c r="M81" s="39"/>
      <c r="N81" s="40"/>
      <c r="O81" s="40">
        <f t="shared" si="6"/>
        <v>0</v>
      </c>
      <c r="Q81" s="39"/>
      <c r="R81" s="40"/>
      <c r="S81" s="40">
        <f t="shared" si="8"/>
        <v>0</v>
      </c>
      <c r="U81" s="39">
        <v>109</v>
      </c>
      <c r="V81" s="40">
        <v>47</v>
      </c>
      <c r="W81" s="40">
        <f t="shared" si="9"/>
        <v>5123</v>
      </c>
      <c r="Y81" s="39"/>
      <c r="Z81" s="40"/>
      <c r="AA81" s="40">
        <f t="shared" si="10"/>
        <v>0</v>
      </c>
    </row>
    <row r="82" spans="1:27">
      <c r="A82" s="345"/>
      <c r="B82" s="346"/>
      <c r="C82" s="333" t="s">
        <v>456</v>
      </c>
      <c r="D82" s="197" t="s">
        <v>397</v>
      </c>
      <c r="E82" s="39"/>
      <c r="F82" s="40"/>
      <c r="G82" s="40">
        <f t="shared" si="11"/>
        <v>3304</v>
      </c>
      <c r="H82" s="197"/>
      <c r="I82" s="39"/>
      <c r="J82" s="40"/>
      <c r="K82" s="40">
        <f t="shared" si="7"/>
        <v>0</v>
      </c>
      <c r="M82" s="39"/>
      <c r="N82" s="40"/>
      <c r="O82" s="40">
        <f t="shared" si="6"/>
        <v>0</v>
      </c>
      <c r="Q82" s="39"/>
      <c r="R82" s="40"/>
      <c r="S82" s="40">
        <f t="shared" si="8"/>
        <v>0</v>
      </c>
      <c r="U82" s="39">
        <v>59</v>
      </c>
      <c r="V82" s="40">
        <v>56</v>
      </c>
      <c r="W82" s="40">
        <f t="shared" si="9"/>
        <v>3304</v>
      </c>
      <c r="Y82" s="39"/>
      <c r="Z82" s="40"/>
      <c r="AA82" s="40">
        <f t="shared" si="10"/>
        <v>0</v>
      </c>
    </row>
    <row r="83" spans="1:27">
      <c r="A83" s="345"/>
      <c r="B83" s="346"/>
      <c r="C83" s="333" t="s">
        <v>457</v>
      </c>
      <c r="D83" s="197" t="s">
        <v>397</v>
      </c>
      <c r="E83" s="39"/>
      <c r="F83" s="40"/>
      <c r="G83" s="40">
        <f t="shared" si="11"/>
        <v>1700</v>
      </c>
      <c r="H83" s="197"/>
      <c r="I83" s="39"/>
      <c r="J83" s="40"/>
      <c r="K83" s="40">
        <f t="shared" si="7"/>
        <v>0</v>
      </c>
      <c r="M83" s="39"/>
      <c r="N83" s="40"/>
      <c r="O83" s="40">
        <f t="shared" si="6"/>
        <v>0</v>
      </c>
      <c r="Q83" s="39"/>
      <c r="R83" s="40"/>
      <c r="S83" s="40">
        <f t="shared" si="8"/>
        <v>0</v>
      </c>
      <c r="U83" s="39">
        <v>25</v>
      </c>
      <c r="V83" s="40">
        <v>68</v>
      </c>
      <c r="W83" s="40">
        <f t="shared" si="9"/>
        <v>1700</v>
      </c>
      <c r="Y83" s="39"/>
      <c r="Z83" s="40"/>
      <c r="AA83" s="40">
        <f t="shared" si="10"/>
        <v>0</v>
      </c>
    </row>
    <row r="84" spans="1:27">
      <c r="A84" s="345"/>
      <c r="B84" s="346"/>
      <c r="C84" s="333" t="s">
        <v>458</v>
      </c>
      <c r="D84" s="197" t="s">
        <v>397</v>
      </c>
      <c r="E84" s="39"/>
      <c r="F84" s="40"/>
      <c r="G84" s="40">
        <f t="shared" si="11"/>
        <v>1343</v>
      </c>
      <c r="H84" s="197"/>
      <c r="I84" s="39"/>
      <c r="J84" s="40"/>
      <c r="K84" s="40">
        <f t="shared" si="7"/>
        <v>0</v>
      </c>
      <c r="M84" s="39"/>
      <c r="N84" s="40"/>
      <c r="O84" s="40">
        <f t="shared" si="6"/>
        <v>0</v>
      </c>
      <c r="Q84" s="39"/>
      <c r="R84" s="40"/>
      <c r="S84" s="40">
        <f t="shared" si="8"/>
        <v>0</v>
      </c>
      <c r="U84" s="39">
        <v>17</v>
      </c>
      <c r="V84" s="40">
        <v>79</v>
      </c>
      <c r="W84" s="40">
        <f t="shared" si="9"/>
        <v>1343</v>
      </c>
      <c r="Y84" s="39"/>
      <c r="Z84" s="40"/>
      <c r="AA84" s="40">
        <f t="shared" si="10"/>
        <v>0</v>
      </c>
    </row>
    <row r="85" spans="1:27">
      <c r="A85" s="345"/>
      <c r="B85" s="346"/>
      <c r="C85" s="333" t="s">
        <v>459</v>
      </c>
      <c r="D85" s="197" t="s">
        <v>397</v>
      </c>
      <c r="E85" s="39"/>
      <c r="F85" s="40"/>
      <c r="G85" s="40">
        <f t="shared" si="11"/>
        <v>1513</v>
      </c>
      <c r="H85" s="197"/>
      <c r="I85" s="39"/>
      <c r="J85" s="40"/>
      <c r="K85" s="40">
        <f t="shared" si="7"/>
        <v>0</v>
      </c>
      <c r="M85" s="39"/>
      <c r="N85" s="40"/>
      <c r="O85" s="40">
        <f t="shared" si="6"/>
        <v>0</v>
      </c>
      <c r="Q85" s="39"/>
      <c r="R85" s="40"/>
      <c r="S85" s="40">
        <f t="shared" si="8"/>
        <v>0</v>
      </c>
      <c r="U85" s="39">
        <v>17</v>
      </c>
      <c r="V85" s="40">
        <v>89</v>
      </c>
      <c r="W85" s="40">
        <f t="shared" si="9"/>
        <v>1513</v>
      </c>
      <c r="Y85" s="39"/>
      <c r="Z85" s="40"/>
      <c r="AA85" s="40">
        <f t="shared" si="10"/>
        <v>0</v>
      </c>
    </row>
    <row r="86" spans="1:27" s="424" customFormat="1">
      <c r="A86" s="419"/>
      <c r="B86" s="420"/>
      <c r="C86" s="425" t="s">
        <v>686</v>
      </c>
      <c r="D86" s="422" t="s">
        <v>397</v>
      </c>
      <c r="E86" s="423"/>
      <c r="F86" s="368"/>
      <c r="G86" s="40">
        <f t="shared" si="11"/>
        <v>2090</v>
      </c>
      <c r="H86" s="422"/>
      <c r="I86" s="423"/>
      <c r="J86" s="368"/>
      <c r="K86" s="368">
        <f t="shared" si="7"/>
        <v>0</v>
      </c>
      <c r="M86" s="423"/>
      <c r="N86" s="368"/>
      <c r="O86" s="40">
        <f t="shared" si="6"/>
        <v>0</v>
      </c>
      <c r="Q86" s="423"/>
      <c r="R86" s="368"/>
      <c r="S86" s="40">
        <f t="shared" si="8"/>
        <v>0</v>
      </c>
      <c r="U86" s="423">
        <v>19</v>
      </c>
      <c r="V86" s="368">
        <v>110</v>
      </c>
      <c r="W86" s="40">
        <f t="shared" si="9"/>
        <v>2090</v>
      </c>
      <c r="Y86" s="423"/>
      <c r="Z86" s="368"/>
      <c r="AA86" s="40">
        <f t="shared" si="10"/>
        <v>0</v>
      </c>
    </row>
    <row r="87" spans="1:27" s="424" customFormat="1">
      <c r="A87" s="419"/>
      <c r="B87" s="420"/>
      <c r="C87" s="425" t="s">
        <v>995</v>
      </c>
      <c r="D87" s="422" t="s">
        <v>397</v>
      </c>
      <c r="E87" s="423"/>
      <c r="F87" s="368"/>
      <c r="G87" s="40">
        <f t="shared" si="11"/>
        <v>1437.5</v>
      </c>
      <c r="H87" s="422"/>
      <c r="I87" s="423"/>
      <c r="J87" s="368"/>
      <c r="K87" s="368">
        <f t="shared" si="7"/>
        <v>0</v>
      </c>
      <c r="M87" s="423"/>
      <c r="N87" s="368"/>
      <c r="O87" s="40">
        <f t="shared" si="6"/>
        <v>0</v>
      </c>
      <c r="Q87" s="423"/>
      <c r="R87" s="368"/>
      <c r="S87" s="40">
        <f t="shared" si="8"/>
        <v>0</v>
      </c>
      <c r="U87" s="423">
        <v>11.5</v>
      </c>
      <c r="V87" s="368">
        <v>125</v>
      </c>
      <c r="W87" s="40">
        <f t="shared" si="9"/>
        <v>1437.5</v>
      </c>
      <c r="Y87" s="423"/>
      <c r="Z87" s="368"/>
      <c r="AA87" s="40">
        <f t="shared" si="10"/>
        <v>0</v>
      </c>
    </row>
    <row r="88" spans="1:27" s="424" customFormat="1">
      <c r="A88" s="419"/>
      <c r="B88" s="420"/>
      <c r="C88" s="425" t="s">
        <v>996</v>
      </c>
      <c r="D88" s="422" t="s">
        <v>397</v>
      </c>
      <c r="E88" s="423"/>
      <c r="F88" s="368"/>
      <c r="G88" s="40">
        <f t="shared" si="11"/>
        <v>1632</v>
      </c>
      <c r="H88" s="422"/>
      <c r="I88" s="423"/>
      <c r="J88" s="368"/>
      <c r="K88" s="368">
        <f t="shared" si="7"/>
        <v>0</v>
      </c>
      <c r="M88" s="423"/>
      <c r="N88" s="368"/>
      <c r="O88" s="40">
        <f t="shared" si="6"/>
        <v>0</v>
      </c>
      <c r="Q88" s="423"/>
      <c r="R88" s="368"/>
      <c r="S88" s="40">
        <f t="shared" si="8"/>
        <v>0</v>
      </c>
      <c r="U88" s="423">
        <v>12</v>
      </c>
      <c r="V88" s="368">
        <v>136</v>
      </c>
      <c r="W88" s="40">
        <f t="shared" si="9"/>
        <v>1632</v>
      </c>
      <c r="Y88" s="423"/>
      <c r="Z88" s="368"/>
      <c r="AA88" s="40">
        <f t="shared" si="10"/>
        <v>0</v>
      </c>
    </row>
    <row r="89" spans="1:27">
      <c r="A89" s="345"/>
      <c r="B89" s="346"/>
      <c r="C89" s="192" t="s">
        <v>460</v>
      </c>
      <c r="D89" s="197" t="s">
        <v>398</v>
      </c>
      <c r="E89" s="39"/>
      <c r="F89" s="40"/>
      <c r="G89" s="40">
        <f t="shared" si="11"/>
        <v>0</v>
      </c>
      <c r="H89" s="197"/>
      <c r="I89" s="39"/>
      <c r="J89" s="40"/>
      <c r="K89" s="40">
        <f t="shared" si="7"/>
        <v>0</v>
      </c>
      <c r="M89" s="39"/>
      <c r="N89" s="40"/>
      <c r="O89" s="40">
        <f t="shared" si="6"/>
        <v>0</v>
      </c>
      <c r="Q89" s="39"/>
      <c r="R89" s="40"/>
      <c r="S89" s="40">
        <f t="shared" si="8"/>
        <v>0</v>
      </c>
      <c r="U89" s="39"/>
      <c r="V89" s="40"/>
      <c r="W89" s="40">
        <f t="shared" si="9"/>
        <v>0</v>
      </c>
      <c r="Y89" s="39"/>
      <c r="Z89" s="40"/>
      <c r="AA89" s="40">
        <f t="shared" si="10"/>
        <v>0</v>
      </c>
    </row>
    <row r="90" spans="1:27">
      <c r="A90" s="345"/>
      <c r="B90" s="346"/>
      <c r="C90" s="192"/>
      <c r="D90" s="197"/>
      <c r="E90" s="39"/>
      <c r="F90" s="40"/>
      <c r="G90" s="40">
        <f t="shared" si="11"/>
        <v>0</v>
      </c>
      <c r="H90" s="197"/>
      <c r="I90" s="39"/>
      <c r="J90" s="40"/>
      <c r="K90" s="40">
        <f t="shared" si="7"/>
        <v>0</v>
      </c>
      <c r="M90" s="39"/>
      <c r="N90" s="40"/>
      <c r="O90" s="40">
        <f t="shared" si="6"/>
        <v>0</v>
      </c>
      <c r="Q90" s="39"/>
      <c r="R90" s="40"/>
      <c r="S90" s="40">
        <f t="shared" si="8"/>
        <v>0</v>
      </c>
      <c r="U90" s="39"/>
      <c r="V90" s="40"/>
      <c r="W90" s="40">
        <f t="shared" si="9"/>
        <v>0</v>
      </c>
      <c r="Y90" s="39"/>
      <c r="Z90" s="40"/>
      <c r="AA90" s="40">
        <f t="shared" si="10"/>
        <v>0</v>
      </c>
    </row>
    <row r="91" spans="1:27">
      <c r="A91" s="345"/>
      <c r="B91" s="346"/>
      <c r="C91" s="192" t="s">
        <v>461</v>
      </c>
      <c r="D91" s="197"/>
      <c r="E91" s="39"/>
      <c r="F91" s="40"/>
      <c r="G91" s="40">
        <f t="shared" si="11"/>
        <v>0</v>
      </c>
      <c r="H91" s="197"/>
      <c r="I91" s="39"/>
      <c r="J91" s="40"/>
      <c r="K91" s="40">
        <f t="shared" si="7"/>
        <v>0</v>
      </c>
      <c r="M91" s="39"/>
      <c r="N91" s="40"/>
      <c r="O91" s="40">
        <f t="shared" si="6"/>
        <v>0</v>
      </c>
      <c r="Q91" s="39"/>
      <c r="R91" s="40"/>
      <c r="S91" s="40">
        <f t="shared" si="8"/>
        <v>0</v>
      </c>
      <c r="U91" s="39"/>
      <c r="V91" s="40"/>
      <c r="W91" s="40">
        <f t="shared" si="9"/>
        <v>0</v>
      </c>
      <c r="Y91" s="39"/>
      <c r="Z91" s="40"/>
      <c r="AA91" s="40">
        <f t="shared" si="10"/>
        <v>0</v>
      </c>
    </row>
    <row r="92" spans="1:27">
      <c r="A92" s="345"/>
      <c r="B92" s="346"/>
      <c r="C92" s="192" t="s">
        <v>419</v>
      </c>
      <c r="D92" s="197" t="s">
        <v>398</v>
      </c>
      <c r="E92" s="39"/>
      <c r="F92" s="40"/>
      <c r="G92" s="40">
        <f t="shared" si="11"/>
        <v>1274</v>
      </c>
      <c r="H92" s="197"/>
      <c r="I92" s="39"/>
      <c r="J92" s="40"/>
      <c r="K92" s="40">
        <f t="shared" si="7"/>
        <v>0</v>
      </c>
      <c r="M92" s="39">
        <v>17</v>
      </c>
      <c r="N92" s="40">
        <v>26</v>
      </c>
      <c r="O92" s="40">
        <f t="shared" si="6"/>
        <v>442</v>
      </c>
      <c r="Q92" s="39">
        <v>32</v>
      </c>
      <c r="R92" s="40">
        <v>26</v>
      </c>
      <c r="S92" s="40">
        <f t="shared" si="8"/>
        <v>832</v>
      </c>
      <c r="U92" s="39"/>
      <c r="V92" s="40"/>
      <c r="W92" s="40">
        <f t="shared" si="9"/>
        <v>0</v>
      </c>
      <c r="Y92" s="39"/>
      <c r="Z92" s="40"/>
      <c r="AA92" s="40">
        <f t="shared" si="10"/>
        <v>0</v>
      </c>
    </row>
    <row r="93" spans="1:27">
      <c r="A93" s="345"/>
      <c r="B93" s="346"/>
      <c r="C93" s="192" t="s">
        <v>420</v>
      </c>
      <c r="D93" s="197" t="s">
        <v>398</v>
      </c>
      <c r="E93" s="39"/>
      <c r="F93" s="40"/>
      <c r="G93" s="40">
        <f t="shared" si="11"/>
        <v>5760</v>
      </c>
      <c r="H93" s="197"/>
      <c r="I93" s="39"/>
      <c r="J93" s="40"/>
      <c r="K93" s="40">
        <f t="shared" si="7"/>
        <v>0</v>
      </c>
      <c r="M93" s="39">
        <v>10</v>
      </c>
      <c r="N93" s="40">
        <v>199.8</v>
      </c>
      <c r="O93" s="40">
        <f t="shared" si="6"/>
        <v>1998</v>
      </c>
      <c r="Q93" s="39">
        <v>19</v>
      </c>
      <c r="R93" s="40">
        <v>198</v>
      </c>
      <c r="S93" s="40">
        <f t="shared" si="8"/>
        <v>3762</v>
      </c>
      <c r="U93" s="39"/>
      <c r="V93" s="40"/>
      <c r="W93" s="40">
        <f t="shared" si="9"/>
        <v>0</v>
      </c>
      <c r="Y93" s="39"/>
      <c r="Z93" s="40"/>
      <c r="AA93" s="40">
        <f t="shared" si="10"/>
        <v>0</v>
      </c>
    </row>
    <row r="94" spans="1:27">
      <c r="A94" s="345"/>
      <c r="B94" s="346"/>
      <c r="C94" s="192" t="s">
        <v>421</v>
      </c>
      <c r="D94" s="197" t="s">
        <v>398</v>
      </c>
      <c r="E94" s="39"/>
      <c r="F94" s="40"/>
      <c r="G94" s="40">
        <f t="shared" si="11"/>
        <v>336</v>
      </c>
      <c r="H94" s="197"/>
      <c r="I94" s="39"/>
      <c r="J94" s="40"/>
      <c r="K94" s="40">
        <f t="shared" si="7"/>
        <v>0</v>
      </c>
      <c r="M94" s="39">
        <v>4</v>
      </c>
      <c r="N94" s="40">
        <v>42</v>
      </c>
      <c r="O94" s="40">
        <f t="shared" si="6"/>
        <v>168</v>
      </c>
      <c r="Q94" s="39">
        <v>4</v>
      </c>
      <c r="R94" s="40">
        <v>42</v>
      </c>
      <c r="S94" s="40">
        <f t="shared" si="8"/>
        <v>168</v>
      </c>
      <c r="U94" s="39"/>
      <c r="V94" s="40"/>
      <c r="W94" s="40">
        <f t="shared" si="9"/>
        <v>0</v>
      </c>
      <c r="Y94" s="39"/>
      <c r="Z94" s="40"/>
      <c r="AA94" s="40">
        <f t="shared" si="10"/>
        <v>0</v>
      </c>
    </row>
    <row r="95" spans="1:27">
      <c r="A95" s="345"/>
      <c r="B95" s="346"/>
      <c r="C95" s="333" t="s">
        <v>422</v>
      </c>
      <c r="D95" s="197" t="s">
        <v>397</v>
      </c>
      <c r="E95" s="39"/>
      <c r="F95" s="40"/>
      <c r="G95" s="40">
        <f t="shared" si="11"/>
        <v>3276</v>
      </c>
      <c r="H95" s="197"/>
      <c r="I95" s="39"/>
      <c r="J95" s="40"/>
      <c r="K95" s="40">
        <f t="shared" si="7"/>
        <v>0</v>
      </c>
      <c r="M95" s="39">
        <v>41.5</v>
      </c>
      <c r="N95" s="40">
        <v>42</v>
      </c>
      <c r="O95" s="40">
        <f t="shared" si="6"/>
        <v>1743</v>
      </c>
      <c r="Q95" s="39">
        <v>36.5</v>
      </c>
      <c r="R95" s="40">
        <v>42</v>
      </c>
      <c r="S95" s="40">
        <f t="shared" si="8"/>
        <v>1533</v>
      </c>
      <c r="U95" s="39"/>
      <c r="V95" s="40"/>
      <c r="W95" s="40">
        <f t="shared" si="9"/>
        <v>0</v>
      </c>
      <c r="Y95" s="39"/>
      <c r="Z95" s="40"/>
      <c r="AA95" s="40">
        <f t="shared" si="10"/>
        <v>0</v>
      </c>
    </row>
    <row r="96" spans="1:27">
      <c r="A96" s="345"/>
      <c r="B96" s="346"/>
      <c r="C96" s="333" t="s">
        <v>455</v>
      </c>
      <c r="D96" s="197" t="s">
        <v>397</v>
      </c>
      <c r="E96" s="39"/>
      <c r="F96" s="40"/>
      <c r="G96" s="40">
        <f t="shared" si="11"/>
        <v>2632</v>
      </c>
      <c r="H96" s="197"/>
      <c r="I96" s="39"/>
      <c r="J96" s="40"/>
      <c r="K96" s="40">
        <f t="shared" si="7"/>
        <v>0</v>
      </c>
      <c r="M96" s="39">
        <v>22</v>
      </c>
      <c r="N96" s="40">
        <v>47</v>
      </c>
      <c r="O96" s="40">
        <f t="shared" si="6"/>
        <v>1034</v>
      </c>
      <c r="Q96" s="39">
        <v>34</v>
      </c>
      <c r="R96" s="40">
        <v>47</v>
      </c>
      <c r="S96" s="40">
        <f t="shared" si="8"/>
        <v>1598</v>
      </c>
      <c r="U96" s="39"/>
      <c r="V96" s="40"/>
      <c r="W96" s="40">
        <f t="shared" si="9"/>
        <v>0</v>
      </c>
      <c r="Y96" s="39"/>
      <c r="Z96" s="40"/>
      <c r="AA96" s="40">
        <f t="shared" si="10"/>
        <v>0</v>
      </c>
    </row>
    <row r="97" spans="1:27">
      <c r="A97" s="345"/>
      <c r="B97" s="346"/>
      <c r="C97" s="333" t="s">
        <v>456</v>
      </c>
      <c r="D97" s="197" t="s">
        <v>397</v>
      </c>
      <c r="E97" s="39"/>
      <c r="F97" s="40"/>
      <c r="G97" s="40">
        <f t="shared" si="11"/>
        <v>3724</v>
      </c>
      <c r="H97" s="197"/>
      <c r="I97" s="39"/>
      <c r="J97" s="40"/>
      <c r="K97" s="40">
        <f t="shared" si="7"/>
        <v>0</v>
      </c>
      <c r="M97" s="39">
        <v>38.5</v>
      </c>
      <c r="N97" s="40">
        <v>56</v>
      </c>
      <c r="O97" s="40">
        <f t="shared" si="6"/>
        <v>2156</v>
      </c>
      <c r="Q97" s="39">
        <v>28</v>
      </c>
      <c r="R97" s="40">
        <v>56</v>
      </c>
      <c r="S97" s="40">
        <f t="shared" si="8"/>
        <v>1568</v>
      </c>
      <c r="U97" s="39"/>
      <c r="V97" s="40"/>
      <c r="W97" s="40">
        <f t="shared" si="9"/>
        <v>0</v>
      </c>
      <c r="Y97" s="39"/>
      <c r="Z97" s="40"/>
      <c r="AA97" s="40">
        <f t="shared" si="10"/>
        <v>0</v>
      </c>
    </row>
    <row r="98" spans="1:27">
      <c r="A98" s="345"/>
      <c r="B98" s="346"/>
      <c r="C98" s="333" t="s">
        <v>457</v>
      </c>
      <c r="D98" s="197" t="s">
        <v>397</v>
      </c>
      <c r="E98" s="39"/>
      <c r="F98" s="40"/>
      <c r="G98" s="40">
        <f t="shared" si="11"/>
        <v>4080</v>
      </c>
      <c r="H98" s="197"/>
      <c r="I98" s="39"/>
      <c r="J98" s="40"/>
      <c r="K98" s="40">
        <f t="shared" si="7"/>
        <v>0</v>
      </c>
      <c r="M98" s="39"/>
      <c r="N98" s="40"/>
      <c r="O98" s="40">
        <f t="shared" si="6"/>
        <v>0</v>
      </c>
      <c r="Q98" s="39">
        <v>60</v>
      </c>
      <c r="R98" s="40">
        <v>68</v>
      </c>
      <c r="S98" s="40">
        <f t="shared" si="8"/>
        <v>4080</v>
      </c>
      <c r="U98" s="39"/>
      <c r="V98" s="40"/>
      <c r="W98" s="40">
        <f t="shared" si="9"/>
        <v>0</v>
      </c>
      <c r="Y98" s="39"/>
      <c r="Z98" s="40"/>
      <c r="AA98" s="40">
        <f t="shared" si="10"/>
        <v>0</v>
      </c>
    </row>
    <row r="99" spans="1:27">
      <c r="A99" s="345"/>
      <c r="B99" s="346"/>
      <c r="C99" s="333" t="s">
        <v>458</v>
      </c>
      <c r="D99" s="197" t="s">
        <v>397</v>
      </c>
      <c r="E99" s="39"/>
      <c r="F99" s="40"/>
      <c r="G99" s="40">
        <f t="shared" si="11"/>
        <v>3713</v>
      </c>
      <c r="H99" s="197"/>
      <c r="I99" s="39"/>
      <c r="J99" s="40"/>
      <c r="K99" s="40">
        <f t="shared" si="7"/>
        <v>0</v>
      </c>
      <c r="M99" s="39"/>
      <c r="N99" s="40"/>
      <c r="O99" s="40">
        <f t="shared" si="6"/>
        <v>0</v>
      </c>
      <c r="Q99" s="39">
        <v>47</v>
      </c>
      <c r="R99" s="40">
        <v>79</v>
      </c>
      <c r="S99" s="40">
        <f t="shared" si="8"/>
        <v>3713</v>
      </c>
      <c r="U99" s="39"/>
      <c r="V99" s="40"/>
      <c r="W99" s="40">
        <f t="shared" si="9"/>
        <v>0</v>
      </c>
      <c r="Y99" s="39"/>
      <c r="Z99" s="40"/>
      <c r="AA99" s="40">
        <f t="shared" si="10"/>
        <v>0</v>
      </c>
    </row>
    <row r="100" spans="1:27">
      <c r="A100" s="345"/>
      <c r="B100" s="346"/>
      <c r="C100" s="333" t="s">
        <v>459</v>
      </c>
      <c r="D100" s="197" t="s">
        <v>397</v>
      </c>
      <c r="E100" s="39"/>
      <c r="F100" s="40"/>
      <c r="G100" s="40">
        <f t="shared" si="11"/>
        <v>2803.5</v>
      </c>
      <c r="H100" s="197"/>
      <c r="I100" s="39"/>
      <c r="J100" s="40"/>
      <c r="K100" s="40">
        <f t="shared" si="7"/>
        <v>0</v>
      </c>
      <c r="M100" s="39">
        <v>15.5</v>
      </c>
      <c r="N100" s="40">
        <v>89</v>
      </c>
      <c r="O100" s="40">
        <f t="shared" si="6"/>
        <v>1379.5</v>
      </c>
      <c r="Q100" s="39">
        <v>16</v>
      </c>
      <c r="R100" s="40">
        <v>89</v>
      </c>
      <c r="S100" s="40">
        <f t="shared" si="8"/>
        <v>1424</v>
      </c>
      <c r="U100" s="39"/>
      <c r="V100" s="40"/>
      <c r="W100" s="40">
        <f t="shared" si="9"/>
        <v>0</v>
      </c>
      <c r="Y100" s="39"/>
      <c r="Z100" s="40"/>
      <c r="AA100" s="40">
        <f t="shared" si="10"/>
        <v>0</v>
      </c>
    </row>
    <row r="101" spans="1:27">
      <c r="A101" s="345"/>
      <c r="B101" s="346"/>
      <c r="C101" s="334" t="s">
        <v>684</v>
      </c>
      <c r="D101" s="197" t="s">
        <v>685</v>
      </c>
      <c r="E101" s="39"/>
      <c r="F101" s="40"/>
      <c r="G101" s="40">
        <f t="shared" si="11"/>
        <v>3840</v>
      </c>
      <c r="H101" s="197"/>
      <c r="I101" s="39"/>
      <c r="J101" s="40"/>
      <c r="K101" s="40">
        <f t="shared" si="7"/>
        <v>0</v>
      </c>
      <c r="M101" s="39"/>
      <c r="N101" s="40"/>
      <c r="O101" s="40">
        <f t="shared" si="6"/>
        <v>0</v>
      </c>
      <c r="Q101" s="39">
        <v>320</v>
      </c>
      <c r="R101" s="40">
        <v>12</v>
      </c>
      <c r="S101" s="40">
        <f t="shared" si="8"/>
        <v>3840</v>
      </c>
      <c r="U101" s="39"/>
      <c r="V101" s="40"/>
      <c r="W101" s="40">
        <f t="shared" si="9"/>
        <v>0</v>
      </c>
      <c r="Y101" s="39"/>
      <c r="Z101" s="40"/>
      <c r="AA101" s="40">
        <f t="shared" si="10"/>
        <v>0</v>
      </c>
    </row>
    <row r="102" spans="1:27">
      <c r="A102" s="345"/>
      <c r="B102" s="346"/>
      <c r="C102" s="192" t="s">
        <v>460</v>
      </c>
      <c r="D102" s="197" t="s">
        <v>398</v>
      </c>
      <c r="E102" s="39"/>
      <c r="F102" s="40"/>
      <c r="G102" s="40">
        <f t="shared" si="11"/>
        <v>1020</v>
      </c>
      <c r="H102" s="197"/>
      <c r="I102" s="39"/>
      <c r="J102" s="40"/>
      <c r="K102" s="40">
        <f t="shared" si="7"/>
        <v>0</v>
      </c>
      <c r="M102" s="39">
        <v>2</v>
      </c>
      <c r="N102" s="40">
        <v>510</v>
      </c>
      <c r="O102" s="40">
        <f t="shared" si="6"/>
        <v>1020</v>
      </c>
      <c r="Q102" s="39"/>
      <c r="R102" s="40"/>
      <c r="S102" s="40">
        <f t="shared" si="8"/>
        <v>0</v>
      </c>
      <c r="U102" s="39"/>
      <c r="V102" s="40"/>
      <c r="W102" s="40">
        <f t="shared" si="9"/>
        <v>0</v>
      </c>
      <c r="Y102" s="39"/>
      <c r="Z102" s="40"/>
      <c r="AA102" s="40">
        <f t="shared" si="10"/>
        <v>0</v>
      </c>
    </row>
    <row r="103" spans="1:27">
      <c r="A103" s="345"/>
      <c r="B103" s="346"/>
      <c r="C103" s="192"/>
      <c r="D103" s="197"/>
      <c r="E103" s="39"/>
      <c r="F103" s="40"/>
      <c r="G103" s="40">
        <f t="shared" si="11"/>
        <v>0</v>
      </c>
      <c r="H103" s="197"/>
      <c r="I103" s="39"/>
      <c r="J103" s="40"/>
      <c r="K103" s="40">
        <f t="shared" si="7"/>
        <v>0</v>
      </c>
      <c r="M103" s="39"/>
      <c r="N103" s="40"/>
      <c r="O103" s="40">
        <f t="shared" si="6"/>
        <v>0</v>
      </c>
      <c r="Q103" s="39"/>
      <c r="R103" s="40"/>
      <c r="S103" s="40">
        <f t="shared" si="8"/>
        <v>0</v>
      </c>
      <c r="U103" s="39"/>
      <c r="V103" s="40"/>
      <c r="W103" s="40">
        <f t="shared" si="9"/>
        <v>0</v>
      </c>
      <c r="Y103" s="39"/>
      <c r="Z103" s="40"/>
      <c r="AA103" s="40">
        <f t="shared" si="10"/>
        <v>0</v>
      </c>
    </row>
    <row r="104" spans="1:27">
      <c r="A104" s="345"/>
      <c r="B104" s="346"/>
      <c r="C104" s="192" t="s">
        <v>462</v>
      </c>
      <c r="D104" s="197"/>
      <c r="E104" s="39"/>
      <c r="F104" s="40"/>
      <c r="G104" s="40">
        <f t="shared" si="11"/>
        <v>0</v>
      </c>
      <c r="H104" s="197"/>
      <c r="I104" s="39"/>
      <c r="J104" s="40"/>
      <c r="K104" s="40">
        <f t="shared" si="7"/>
        <v>0</v>
      </c>
      <c r="M104" s="39"/>
      <c r="N104" s="40"/>
      <c r="O104" s="40">
        <f t="shared" si="6"/>
        <v>0</v>
      </c>
      <c r="Q104" s="39"/>
      <c r="R104" s="40"/>
      <c r="S104" s="40">
        <f t="shared" si="8"/>
        <v>0</v>
      </c>
      <c r="U104" s="39"/>
      <c r="V104" s="40"/>
      <c r="W104" s="40">
        <f t="shared" si="9"/>
        <v>0</v>
      </c>
      <c r="Y104" s="39"/>
      <c r="Z104" s="40"/>
      <c r="AA104" s="40">
        <f t="shared" si="10"/>
        <v>0</v>
      </c>
    </row>
    <row r="105" spans="1:27">
      <c r="A105" s="345"/>
      <c r="B105" s="346"/>
      <c r="C105" s="192" t="s">
        <v>419</v>
      </c>
      <c r="D105" s="197" t="s">
        <v>398</v>
      </c>
      <c r="E105" s="39"/>
      <c r="F105" s="40"/>
      <c r="G105" s="40">
        <f t="shared" si="11"/>
        <v>504</v>
      </c>
      <c r="H105" s="197"/>
      <c r="I105" s="39"/>
      <c r="J105" s="40"/>
      <c r="K105" s="40">
        <f t="shared" si="7"/>
        <v>0</v>
      </c>
      <c r="M105" s="39">
        <v>18</v>
      </c>
      <c r="N105" s="40">
        <v>21</v>
      </c>
      <c r="O105" s="40">
        <f t="shared" si="6"/>
        <v>378</v>
      </c>
      <c r="Q105" s="39">
        <v>6</v>
      </c>
      <c r="R105" s="40">
        <v>21</v>
      </c>
      <c r="S105" s="40">
        <f t="shared" si="8"/>
        <v>126</v>
      </c>
      <c r="U105" s="39"/>
      <c r="V105" s="40"/>
      <c r="W105" s="40">
        <f t="shared" si="9"/>
        <v>0</v>
      </c>
      <c r="Y105" s="39"/>
      <c r="Z105" s="40"/>
      <c r="AA105" s="40">
        <f t="shared" si="10"/>
        <v>0</v>
      </c>
    </row>
    <row r="106" spans="1:27">
      <c r="A106" s="345"/>
      <c r="B106" s="346"/>
      <c r="C106" s="192" t="s">
        <v>420</v>
      </c>
      <c r="D106" s="197" t="s">
        <v>398</v>
      </c>
      <c r="E106" s="39"/>
      <c r="F106" s="40"/>
      <c r="G106" s="40">
        <f t="shared" si="11"/>
        <v>2715</v>
      </c>
      <c r="H106" s="197"/>
      <c r="I106" s="39"/>
      <c r="J106" s="40"/>
      <c r="K106" s="40">
        <f t="shared" si="7"/>
        <v>0</v>
      </c>
      <c r="M106" s="39">
        <v>10</v>
      </c>
      <c r="N106" s="40">
        <v>181</v>
      </c>
      <c r="O106" s="40">
        <f t="shared" si="6"/>
        <v>1810</v>
      </c>
      <c r="Q106" s="39">
        <v>5</v>
      </c>
      <c r="R106" s="40">
        <v>181</v>
      </c>
      <c r="S106" s="40">
        <f t="shared" si="8"/>
        <v>905</v>
      </c>
      <c r="U106" s="39"/>
      <c r="V106" s="40"/>
      <c r="W106" s="40">
        <f t="shared" si="9"/>
        <v>0</v>
      </c>
      <c r="Y106" s="39"/>
      <c r="Z106" s="40"/>
      <c r="AA106" s="40">
        <f t="shared" si="10"/>
        <v>0</v>
      </c>
    </row>
    <row r="107" spans="1:27">
      <c r="A107" s="345"/>
      <c r="B107" s="346"/>
      <c r="C107" s="192" t="s">
        <v>421</v>
      </c>
      <c r="D107" s="197" t="s">
        <v>398</v>
      </c>
      <c r="E107" s="39"/>
      <c r="F107" s="40"/>
      <c r="G107" s="40">
        <f t="shared" si="11"/>
        <v>168</v>
      </c>
      <c r="H107" s="197"/>
      <c r="I107" s="39"/>
      <c r="J107" s="40"/>
      <c r="K107" s="40">
        <f t="shared" si="7"/>
        <v>0</v>
      </c>
      <c r="M107" s="39">
        <v>4</v>
      </c>
      <c r="N107" s="40">
        <v>42</v>
      </c>
      <c r="O107" s="40">
        <f t="shared" si="6"/>
        <v>168</v>
      </c>
      <c r="Q107" s="39"/>
      <c r="R107" s="40"/>
      <c r="S107" s="40">
        <f t="shared" si="8"/>
        <v>0</v>
      </c>
      <c r="U107" s="39"/>
      <c r="V107" s="40"/>
      <c r="W107" s="40">
        <f t="shared" si="9"/>
        <v>0</v>
      </c>
      <c r="Y107" s="39"/>
      <c r="Z107" s="40"/>
      <c r="AA107" s="40">
        <f t="shared" si="10"/>
        <v>0</v>
      </c>
    </row>
    <row r="108" spans="1:27">
      <c r="A108" s="345"/>
      <c r="B108" s="346"/>
      <c r="C108" s="192" t="s">
        <v>463</v>
      </c>
      <c r="D108" s="197" t="s">
        <v>398</v>
      </c>
      <c r="E108" s="39"/>
      <c r="F108" s="40"/>
      <c r="G108" s="40">
        <f t="shared" si="11"/>
        <v>278</v>
      </c>
      <c r="H108" s="197"/>
      <c r="I108" s="39"/>
      <c r="J108" s="40"/>
      <c r="K108" s="40">
        <f t="shared" si="7"/>
        <v>0</v>
      </c>
      <c r="M108" s="39">
        <v>1</v>
      </c>
      <c r="N108" s="40">
        <v>278</v>
      </c>
      <c r="O108" s="40">
        <f t="shared" si="6"/>
        <v>278</v>
      </c>
      <c r="Q108" s="39"/>
      <c r="R108" s="40"/>
      <c r="S108" s="40">
        <f t="shared" si="8"/>
        <v>0</v>
      </c>
      <c r="U108" s="39"/>
      <c r="V108" s="40"/>
      <c r="W108" s="40">
        <f t="shared" si="9"/>
        <v>0</v>
      </c>
      <c r="Y108" s="39"/>
      <c r="Z108" s="40"/>
      <c r="AA108" s="40">
        <f t="shared" si="10"/>
        <v>0</v>
      </c>
    </row>
    <row r="109" spans="1:27">
      <c r="A109" s="345"/>
      <c r="B109" s="346"/>
      <c r="C109" s="192" t="s">
        <v>464</v>
      </c>
      <c r="D109" s="197" t="s">
        <v>398</v>
      </c>
      <c r="E109" s="39"/>
      <c r="F109" s="40"/>
      <c r="G109" s="40">
        <f t="shared" si="11"/>
        <v>564</v>
      </c>
      <c r="H109" s="197"/>
      <c r="I109" s="39"/>
      <c r="J109" s="40"/>
      <c r="K109" s="40">
        <f t="shared" si="7"/>
        <v>0</v>
      </c>
      <c r="M109" s="39">
        <v>6</v>
      </c>
      <c r="N109" s="40">
        <v>94</v>
      </c>
      <c r="O109" s="40">
        <f t="shared" si="6"/>
        <v>564</v>
      </c>
      <c r="Q109" s="39"/>
      <c r="R109" s="40"/>
      <c r="S109" s="40">
        <f t="shared" si="8"/>
        <v>0</v>
      </c>
      <c r="U109" s="39"/>
      <c r="V109" s="40"/>
      <c r="W109" s="40">
        <f t="shared" si="9"/>
        <v>0</v>
      </c>
      <c r="Y109" s="39"/>
      <c r="Z109" s="40"/>
      <c r="AA109" s="40">
        <f t="shared" si="10"/>
        <v>0</v>
      </c>
    </row>
    <row r="110" spans="1:27">
      <c r="A110" s="345"/>
      <c r="B110" s="346"/>
      <c r="C110" s="333" t="s">
        <v>422</v>
      </c>
      <c r="D110" s="197" t="s">
        <v>397</v>
      </c>
      <c r="E110" s="39"/>
      <c r="F110" s="40"/>
      <c r="G110" s="40">
        <f t="shared" si="11"/>
        <v>3066</v>
      </c>
      <c r="H110" s="197"/>
      <c r="I110" s="39"/>
      <c r="J110" s="40"/>
      <c r="K110" s="40">
        <f t="shared" si="7"/>
        <v>0</v>
      </c>
      <c r="M110" s="39">
        <v>73</v>
      </c>
      <c r="N110" s="40">
        <v>42</v>
      </c>
      <c r="O110" s="40">
        <f t="shared" si="6"/>
        <v>3066</v>
      </c>
      <c r="Q110" s="39"/>
      <c r="R110" s="40"/>
      <c r="S110" s="40">
        <f t="shared" si="8"/>
        <v>0</v>
      </c>
      <c r="U110" s="39"/>
      <c r="V110" s="40"/>
      <c r="W110" s="40">
        <f t="shared" si="9"/>
        <v>0</v>
      </c>
      <c r="Y110" s="39"/>
      <c r="Z110" s="40"/>
      <c r="AA110" s="40">
        <f t="shared" si="10"/>
        <v>0</v>
      </c>
    </row>
    <row r="111" spans="1:27">
      <c r="A111" s="345"/>
      <c r="B111" s="346"/>
      <c r="C111" s="333" t="s">
        <v>455</v>
      </c>
      <c r="D111" s="197" t="s">
        <v>397</v>
      </c>
      <c r="E111" s="39"/>
      <c r="F111" s="40"/>
      <c r="G111" s="40">
        <f t="shared" si="11"/>
        <v>611</v>
      </c>
      <c r="H111" s="197"/>
      <c r="I111" s="39"/>
      <c r="J111" s="40"/>
      <c r="K111" s="40">
        <f t="shared" si="7"/>
        <v>0</v>
      </c>
      <c r="M111" s="39">
        <v>13</v>
      </c>
      <c r="N111" s="40">
        <v>47</v>
      </c>
      <c r="O111" s="40">
        <f t="shared" si="6"/>
        <v>611</v>
      </c>
      <c r="Q111" s="39"/>
      <c r="R111" s="40"/>
      <c r="S111" s="40">
        <f t="shared" si="8"/>
        <v>0</v>
      </c>
      <c r="U111" s="39"/>
      <c r="V111" s="40"/>
      <c r="W111" s="40">
        <f t="shared" si="9"/>
        <v>0</v>
      </c>
      <c r="Y111" s="39"/>
      <c r="Z111" s="40"/>
      <c r="AA111" s="40">
        <f t="shared" si="10"/>
        <v>0</v>
      </c>
    </row>
    <row r="112" spans="1:27">
      <c r="A112" s="345"/>
      <c r="B112" s="346"/>
      <c r="C112" s="333" t="s">
        <v>456</v>
      </c>
      <c r="D112" s="197" t="s">
        <v>397</v>
      </c>
      <c r="E112" s="39"/>
      <c r="F112" s="40"/>
      <c r="G112" s="40">
        <f t="shared" si="11"/>
        <v>336</v>
      </c>
      <c r="H112" s="197"/>
      <c r="I112" s="39"/>
      <c r="J112" s="40"/>
      <c r="K112" s="40">
        <f t="shared" si="7"/>
        <v>0</v>
      </c>
      <c r="M112" s="39">
        <v>6</v>
      </c>
      <c r="N112" s="40">
        <v>56</v>
      </c>
      <c r="O112" s="40">
        <f t="shared" si="6"/>
        <v>336</v>
      </c>
      <c r="Q112" s="39"/>
      <c r="R112" s="40"/>
      <c r="S112" s="40">
        <f t="shared" si="8"/>
        <v>0</v>
      </c>
      <c r="U112" s="39"/>
      <c r="V112" s="40"/>
      <c r="W112" s="40">
        <f t="shared" si="9"/>
        <v>0</v>
      </c>
      <c r="Y112" s="39"/>
      <c r="Z112" s="40"/>
      <c r="AA112" s="40">
        <f t="shared" si="10"/>
        <v>0</v>
      </c>
    </row>
    <row r="113" spans="1:27">
      <c r="A113" s="345"/>
      <c r="B113" s="346"/>
      <c r="C113" s="333" t="s">
        <v>457</v>
      </c>
      <c r="D113" s="197" t="s">
        <v>397</v>
      </c>
      <c r="E113" s="39"/>
      <c r="F113" s="40"/>
      <c r="G113" s="40">
        <f t="shared" si="11"/>
        <v>374</v>
      </c>
      <c r="H113" s="197"/>
      <c r="I113" s="39"/>
      <c r="J113" s="40"/>
      <c r="K113" s="40">
        <f t="shared" si="7"/>
        <v>0</v>
      </c>
      <c r="M113" s="39">
        <v>5.5</v>
      </c>
      <c r="N113" s="40">
        <v>68</v>
      </c>
      <c r="O113" s="40">
        <f t="shared" si="6"/>
        <v>374</v>
      </c>
      <c r="Q113" s="39"/>
      <c r="R113" s="40"/>
      <c r="S113" s="40">
        <f t="shared" si="8"/>
        <v>0</v>
      </c>
      <c r="U113" s="39"/>
      <c r="V113" s="40"/>
      <c r="W113" s="40">
        <f t="shared" si="9"/>
        <v>0</v>
      </c>
      <c r="Y113" s="39"/>
      <c r="Z113" s="40"/>
      <c r="AA113" s="40">
        <f t="shared" si="10"/>
        <v>0</v>
      </c>
    </row>
    <row r="114" spans="1:27">
      <c r="A114" s="345"/>
      <c r="B114" s="346"/>
      <c r="C114" s="333" t="s">
        <v>458</v>
      </c>
      <c r="D114" s="197" t="s">
        <v>397</v>
      </c>
      <c r="E114" s="39"/>
      <c r="F114" s="40"/>
      <c r="G114" s="40">
        <f t="shared" si="11"/>
        <v>1580</v>
      </c>
      <c r="H114" s="197"/>
      <c r="I114" s="39"/>
      <c r="J114" s="40"/>
      <c r="K114" s="40">
        <f t="shared" si="7"/>
        <v>0</v>
      </c>
      <c r="M114" s="39">
        <v>20</v>
      </c>
      <c r="N114" s="40">
        <v>79</v>
      </c>
      <c r="O114" s="40">
        <f t="shared" si="6"/>
        <v>1580</v>
      </c>
      <c r="Q114" s="39"/>
      <c r="R114" s="40"/>
      <c r="S114" s="40">
        <f t="shared" si="8"/>
        <v>0</v>
      </c>
      <c r="U114" s="39"/>
      <c r="V114" s="40"/>
      <c r="W114" s="40">
        <f t="shared" si="9"/>
        <v>0</v>
      </c>
      <c r="Y114" s="39"/>
      <c r="Z114" s="40"/>
      <c r="AA114" s="40">
        <f t="shared" si="10"/>
        <v>0</v>
      </c>
    </row>
    <row r="115" spans="1:27">
      <c r="A115" s="345"/>
      <c r="B115" s="346"/>
      <c r="C115" s="333" t="s">
        <v>459</v>
      </c>
      <c r="D115" s="197" t="s">
        <v>397</v>
      </c>
      <c r="E115" s="39"/>
      <c r="F115" s="40"/>
      <c r="G115" s="40">
        <f t="shared" si="11"/>
        <v>2640</v>
      </c>
      <c r="H115" s="197"/>
      <c r="I115" s="39"/>
      <c r="J115" s="40"/>
      <c r="K115" s="40">
        <f t="shared" si="7"/>
        <v>0</v>
      </c>
      <c r="M115" s="39">
        <v>30</v>
      </c>
      <c r="N115" s="40">
        <v>88</v>
      </c>
      <c r="O115" s="40">
        <f t="shared" si="6"/>
        <v>2640</v>
      </c>
      <c r="Q115" s="39"/>
      <c r="R115" s="40"/>
      <c r="S115" s="40">
        <f t="shared" si="8"/>
        <v>0</v>
      </c>
      <c r="U115" s="39"/>
      <c r="V115" s="40"/>
      <c r="W115" s="40">
        <f t="shared" si="9"/>
        <v>0</v>
      </c>
      <c r="Y115" s="39"/>
      <c r="Z115" s="40"/>
      <c r="AA115" s="40">
        <f t="shared" si="10"/>
        <v>0</v>
      </c>
    </row>
    <row r="116" spans="1:27">
      <c r="A116" s="345"/>
      <c r="B116" s="346"/>
      <c r="C116" s="192" t="s">
        <v>460</v>
      </c>
      <c r="D116" s="197" t="s">
        <v>398</v>
      </c>
      <c r="E116" s="39"/>
      <c r="F116" s="40"/>
      <c r="G116" s="40">
        <f t="shared" si="11"/>
        <v>912</v>
      </c>
      <c r="H116" s="197"/>
      <c r="I116" s="39"/>
      <c r="J116" s="40"/>
      <c r="K116" s="40">
        <f t="shared" si="7"/>
        <v>0</v>
      </c>
      <c r="M116" s="39">
        <v>2</v>
      </c>
      <c r="N116" s="40">
        <v>456</v>
      </c>
      <c r="O116" s="40">
        <f t="shared" si="6"/>
        <v>912</v>
      </c>
      <c r="Q116" s="39"/>
      <c r="R116" s="40"/>
      <c r="S116" s="40">
        <f t="shared" si="8"/>
        <v>0</v>
      </c>
      <c r="U116" s="39"/>
      <c r="V116" s="40"/>
      <c r="W116" s="40">
        <f t="shared" si="9"/>
        <v>0</v>
      </c>
      <c r="Y116" s="39"/>
      <c r="Z116" s="40"/>
      <c r="AA116" s="40">
        <f t="shared" si="10"/>
        <v>0</v>
      </c>
    </row>
    <row r="117" spans="1:27">
      <c r="A117" s="345"/>
      <c r="B117" s="346"/>
      <c r="C117" s="192"/>
      <c r="D117" s="197"/>
      <c r="E117" s="39"/>
      <c r="F117" s="40"/>
      <c r="G117" s="40">
        <f t="shared" si="11"/>
        <v>0</v>
      </c>
      <c r="H117" s="197"/>
      <c r="I117" s="39"/>
      <c r="J117" s="40"/>
      <c r="K117" s="40">
        <f t="shared" si="7"/>
        <v>0</v>
      </c>
      <c r="M117" s="39"/>
      <c r="N117" s="40"/>
      <c r="O117" s="40">
        <f t="shared" si="6"/>
        <v>0</v>
      </c>
      <c r="Q117" s="39"/>
      <c r="R117" s="40"/>
      <c r="S117" s="40">
        <f t="shared" si="8"/>
        <v>0</v>
      </c>
      <c r="U117" s="39"/>
      <c r="V117" s="40"/>
      <c r="W117" s="40">
        <f t="shared" si="9"/>
        <v>0</v>
      </c>
      <c r="Y117" s="39"/>
      <c r="Z117" s="40"/>
      <c r="AA117" s="40">
        <f t="shared" si="10"/>
        <v>0</v>
      </c>
    </row>
    <row r="118" spans="1:27">
      <c r="A118" s="345"/>
      <c r="B118" s="346"/>
      <c r="C118" s="192" t="s">
        <v>465</v>
      </c>
      <c r="D118" s="197"/>
      <c r="E118" s="39"/>
      <c r="F118" s="40"/>
      <c r="G118" s="40">
        <f t="shared" si="11"/>
        <v>0</v>
      </c>
      <c r="H118" s="197"/>
      <c r="I118" s="39"/>
      <c r="J118" s="40"/>
      <c r="K118" s="40">
        <f t="shared" si="7"/>
        <v>0</v>
      </c>
      <c r="M118" s="39"/>
      <c r="N118" s="40"/>
      <c r="O118" s="40">
        <f t="shared" si="6"/>
        <v>0</v>
      </c>
      <c r="Q118" s="39"/>
      <c r="R118" s="40"/>
      <c r="S118" s="40">
        <f t="shared" si="8"/>
        <v>0</v>
      </c>
      <c r="U118" s="39"/>
      <c r="V118" s="40"/>
      <c r="W118" s="40">
        <f t="shared" si="9"/>
        <v>0</v>
      </c>
      <c r="Y118" s="39"/>
      <c r="Z118" s="40"/>
      <c r="AA118" s="40">
        <f t="shared" si="10"/>
        <v>0</v>
      </c>
    </row>
    <row r="119" spans="1:27">
      <c r="A119" s="345"/>
      <c r="B119" s="346"/>
      <c r="C119" s="192" t="s">
        <v>419</v>
      </c>
      <c r="D119" s="197" t="s">
        <v>398</v>
      </c>
      <c r="E119" s="39"/>
      <c r="F119" s="40"/>
      <c r="G119" s="40">
        <f t="shared" si="11"/>
        <v>153</v>
      </c>
      <c r="H119" s="197"/>
      <c r="I119" s="39"/>
      <c r="J119" s="40"/>
      <c r="K119" s="40">
        <f t="shared" si="7"/>
        <v>0</v>
      </c>
      <c r="M119" s="39"/>
      <c r="N119" s="40"/>
      <c r="O119" s="40">
        <f t="shared" si="6"/>
        <v>0</v>
      </c>
      <c r="Q119" s="39"/>
      <c r="R119" s="40"/>
      <c r="S119" s="40">
        <f t="shared" si="8"/>
        <v>0</v>
      </c>
      <c r="U119" s="39"/>
      <c r="V119" s="40"/>
      <c r="W119" s="40">
        <f t="shared" si="9"/>
        <v>0</v>
      </c>
      <c r="Y119" s="39">
        <v>9</v>
      </c>
      <c r="Z119" s="40">
        <v>17</v>
      </c>
      <c r="AA119" s="40">
        <f t="shared" si="10"/>
        <v>153</v>
      </c>
    </row>
    <row r="120" spans="1:27">
      <c r="A120" s="345"/>
      <c r="B120" s="346"/>
      <c r="C120" s="192" t="s">
        <v>420</v>
      </c>
      <c r="D120" s="197" t="s">
        <v>398</v>
      </c>
      <c r="E120" s="39"/>
      <c r="F120" s="40"/>
      <c r="G120" s="40">
        <f t="shared" si="11"/>
        <v>1557</v>
      </c>
      <c r="H120" s="197"/>
      <c r="I120" s="39"/>
      <c r="J120" s="40"/>
      <c r="K120" s="40">
        <f t="shared" si="7"/>
        <v>0</v>
      </c>
      <c r="M120" s="39"/>
      <c r="N120" s="40"/>
      <c r="O120" s="40">
        <f t="shared" si="6"/>
        <v>0</v>
      </c>
      <c r="Q120" s="39"/>
      <c r="R120" s="40"/>
      <c r="S120" s="40">
        <f t="shared" si="8"/>
        <v>0</v>
      </c>
      <c r="U120" s="39"/>
      <c r="V120" s="40"/>
      <c r="W120" s="40">
        <f t="shared" si="9"/>
        <v>0</v>
      </c>
      <c r="Y120" s="39">
        <v>9</v>
      </c>
      <c r="Z120" s="40">
        <v>173</v>
      </c>
      <c r="AA120" s="40">
        <f t="shared" si="10"/>
        <v>1557</v>
      </c>
    </row>
    <row r="121" spans="1:27">
      <c r="A121" s="345"/>
      <c r="B121" s="346"/>
      <c r="C121" s="192" t="s">
        <v>421</v>
      </c>
      <c r="D121" s="197" t="s">
        <v>398</v>
      </c>
      <c r="E121" s="39"/>
      <c r="F121" s="40"/>
      <c r="G121" s="40">
        <f t="shared" si="11"/>
        <v>168</v>
      </c>
      <c r="H121" s="197"/>
      <c r="I121" s="39"/>
      <c r="J121" s="40"/>
      <c r="K121" s="40">
        <f t="shared" si="7"/>
        <v>0</v>
      </c>
      <c r="M121" s="39"/>
      <c r="N121" s="40"/>
      <c r="O121" s="40">
        <f t="shared" si="6"/>
        <v>0</v>
      </c>
      <c r="Q121" s="39"/>
      <c r="R121" s="40"/>
      <c r="S121" s="40">
        <f t="shared" si="8"/>
        <v>0</v>
      </c>
      <c r="U121" s="39"/>
      <c r="V121" s="40"/>
      <c r="W121" s="40">
        <f t="shared" si="9"/>
        <v>0</v>
      </c>
      <c r="Y121" s="39">
        <v>4</v>
      </c>
      <c r="Z121" s="40">
        <v>42</v>
      </c>
      <c r="AA121" s="40">
        <f t="shared" si="10"/>
        <v>168</v>
      </c>
    </row>
    <row r="122" spans="1:27">
      <c r="A122" s="345"/>
      <c r="B122" s="346"/>
      <c r="C122" s="333" t="s">
        <v>422</v>
      </c>
      <c r="D122" s="197" t="s">
        <v>397</v>
      </c>
      <c r="E122" s="39"/>
      <c r="F122" s="40"/>
      <c r="G122" s="40">
        <f t="shared" si="11"/>
        <v>1491</v>
      </c>
      <c r="H122" s="197"/>
      <c r="I122" s="39"/>
      <c r="J122" s="40"/>
      <c r="K122" s="40">
        <f t="shared" si="7"/>
        <v>0</v>
      </c>
      <c r="M122" s="39"/>
      <c r="N122" s="40"/>
      <c r="O122" s="40">
        <f t="shared" si="6"/>
        <v>0</v>
      </c>
      <c r="Q122" s="39"/>
      <c r="R122" s="40"/>
      <c r="S122" s="40">
        <f t="shared" si="8"/>
        <v>0</v>
      </c>
      <c r="U122" s="39"/>
      <c r="V122" s="40"/>
      <c r="W122" s="40">
        <f t="shared" si="9"/>
        <v>0</v>
      </c>
      <c r="Y122" s="39">
        <v>35.5</v>
      </c>
      <c r="Z122" s="40">
        <v>42</v>
      </c>
      <c r="AA122" s="40">
        <f t="shared" si="10"/>
        <v>1491</v>
      </c>
    </row>
    <row r="123" spans="1:27">
      <c r="A123" s="345"/>
      <c r="B123" s="346"/>
      <c r="C123" s="333" t="s">
        <v>455</v>
      </c>
      <c r="D123" s="197" t="s">
        <v>397</v>
      </c>
      <c r="E123" s="39"/>
      <c r="F123" s="40"/>
      <c r="G123" s="40">
        <f t="shared" si="11"/>
        <v>147</v>
      </c>
      <c r="H123" s="197"/>
      <c r="I123" s="39"/>
      <c r="J123" s="40"/>
      <c r="K123" s="40">
        <f t="shared" si="7"/>
        <v>0</v>
      </c>
      <c r="M123" s="39"/>
      <c r="N123" s="40"/>
      <c r="O123" s="40">
        <f t="shared" si="6"/>
        <v>0</v>
      </c>
      <c r="Q123" s="39"/>
      <c r="R123" s="40"/>
      <c r="S123" s="40">
        <f t="shared" si="8"/>
        <v>0</v>
      </c>
      <c r="U123" s="39"/>
      <c r="V123" s="40"/>
      <c r="W123" s="40">
        <f t="shared" si="9"/>
        <v>0</v>
      </c>
      <c r="Y123" s="39">
        <v>3.5</v>
      </c>
      <c r="Z123" s="40">
        <v>42</v>
      </c>
      <c r="AA123" s="40">
        <f t="shared" si="10"/>
        <v>147</v>
      </c>
    </row>
    <row r="124" spans="1:27">
      <c r="A124" s="345"/>
      <c r="B124" s="346"/>
      <c r="C124" s="333" t="s">
        <v>456</v>
      </c>
      <c r="D124" s="197" t="s">
        <v>397</v>
      </c>
      <c r="E124" s="39"/>
      <c r="F124" s="40"/>
      <c r="G124" s="40">
        <f t="shared" si="11"/>
        <v>840</v>
      </c>
      <c r="H124" s="197"/>
      <c r="I124" s="39"/>
      <c r="J124" s="40"/>
      <c r="K124" s="40">
        <f t="shared" si="7"/>
        <v>0</v>
      </c>
      <c r="M124" s="39"/>
      <c r="N124" s="40"/>
      <c r="O124" s="40">
        <f t="shared" si="6"/>
        <v>0</v>
      </c>
      <c r="Q124" s="39"/>
      <c r="R124" s="40"/>
      <c r="S124" s="40">
        <f t="shared" si="8"/>
        <v>0</v>
      </c>
      <c r="U124" s="39"/>
      <c r="V124" s="40"/>
      <c r="W124" s="40">
        <f t="shared" si="9"/>
        <v>0</v>
      </c>
      <c r="Y124" s="39">
        <v>15</v>
      </c>
      <c r="Z124" s="40">
        <v>56</v>
      </c>
      <c r="AA124" s="40">
        <f t="shared" si="10"/>
        <v>840</v>
      </c>
    </row>
    <row r="125" spans="1:27">
      <c r="A125" s="345"/>
      <c r="B125" s="346"/>
      <c r="C125" s="333" t="s">
        <v>457</v>
      </c>
      <c r="D125" s="197" t="s">
        <v>397</v>
      </c>
      <c r="E125" s="39"/>
      <c r="F125" s="40"/>
      <c r="G125" s="40">
        <f t="shared" si="11"/>
        <v>272</v>
      </c>
      <c r="H125" s="197"/>
      <c r="I125" s="39"/>
      <c r="J125" s="40"/>
      <c r="K125" s="40">
        <f t="shared" si="7"/>
        <v>0</v>
      </c>
      <c r="M125" s="39"/>
      <c r="N125" s="40"/>
      <c r="O125" s="40">
        <f t="shared" si="6"/>
        <v>0</v>
      </c>
      <c r="Q125" s="39"/>
      <c r="R125" s="40"/>
      <c r="S125" s="40">
        <f t="shared" si="8"/>
        <v>0</v>
      </c>
      <c r="U125" s="39"/>
      <c r="V125" s="40"/>
      <c r="W125" s="40">
        <f t="shared" si="9"/>
        <v>0</v>
      </c>
      <c r="Y125" s="39">
        <v>4</v>
      </c>
      <c r="Z125" s="40">
        <v>68</v>
      </c>
      <c r="AA125" s="40">
        <f t="shared" si="10"/>
        <v>272</v>
      </c>
    </row>
    <row r="126" spans="1:27">
      <c r="A126" s="345"/>
      <c r="B126" s="346"/>
      <c r="C126" s="333" t="s">
        <v>458</v>
      </c>
      <c r="D126" s="197" t="s">
        <v>397</v>
      </c>
      <c r="E126" s="39"/>
      <c r="F126" s="40"/>
      <c r="G126" s="40">
        <f t="shared" si="11"/>
        <v>0</v>
      </c>
      <c r="H126" s="197"/>
      <c r="I126" s="39"/>
      <c r="J126" s="40"/>
      <c r="K126" s="40">
        <f t="shared" si="7"/>
        <v>0</v>
      </c>
      <c r="M126" s="39"/>
      <c r="N126" s="40"/>
      <c r="O126" s="40">
        <f t="shared" si="6"/>
        <v>0</v>
      </c>
      <c r="Q126" s="39"/>
      <c r="R126" s="40"/>
      <c r="S126" s="40">
        <f t="shared" si="8"/>
        <v>0</v>
      </c>
      <c r="U126" s="39"/>
      <c r="V126" s="40"/>
      <c r="W126" s="40">
        <f t="shared" si="9"/>
        <v>0</v>
      </c>
      <c r="Y126" s="39"/>
      <c r="Z126" s="40"/>
      <c r="AA126" s="40">
        <f t="shared" si="10"/>
        <v>0</v>
      </c>
    </row>
    <row r="127" spans="1:27">
      <c r="A127" s="345"/>
      <c r="B127" s="346"/>
      <c r="C127" s="333" t="s">
        <v>459</v>
      </c>
      <c r="D127" s="197" t="s">
        <v>397</v>
      </c>
      <c r="E127" s="39"/>
      <c r="F127" s="40"/>
      <c r="G127" s="40">
        <f t="shared" si="11"/>
        <v>0</v>
      </c>
      <c r="H127" s="197"/>
      <c r="I127" s="39"/>
      <c r="J127" s="40"/>
      <c r="K127" s="40">
        <f t="shared" si="7"/>
        <v>0</v>
      </c>
      <c r="M127" s="39"/>
      <c r="N127" s="40"/>
      <c r="O127" s="40">
        <f t="shared" si="6"/>
        <v>0</v>
      </c>
      <c r="Q127" s="39"/>
      <c r="R127" s="40"/>
      <c r="S127" s="40">
        <f t="shared" si="8"/>
        <v>0</v>
      </c>
      <c r="U127" s="39"/>
      <c r="V127" s="40"/>
      <c r="W127" s="40">
        <f t="shared" si="9"/>
        <v>0</v>
      </c>
      <c r="Y127" s="39"/>
      <c r="Z127" s="40"/>
      <c r="AA127" s="40">
        <f t="shared" si="10"/>
        <v>0</v>
      </c>
    </row>
    <row r="128" spans="1:27">
      <c r="A128" s="345"/>
      <c r="B128" s="346"/>
      <c r="C128" s="192" t="s">
        <v>460</v>
      </c>
      <c r="D128" s="197" t="s">
        <v>398</v>
      </c>
      <c r="E128" s="39"/>
      <c r="F128" s="40"/>
      <c r="G128" s="40">
        <f t="shared" si="11"/>
        <v>0</v>
      </c>
      <c r="H128" s="197"/>
      <c r="I128" s="39"/>
      <c r="J128" s="40"/>
      <c r="K128" s="40">
        <f t="shared" si="7"/>
        <v>0</v>
      </c>
      <c r="M128" s="39"/>
      <c r="N128" s="40"/>
      <c r="O128" s="40">
        <f t="shared" si="6"/>
        <v>0</v>
      </c>
      <c r="Q128" s="39"/>
      <c r="R128" s="40"/>
      <c r="S128" s="40">
        <f t="shared" si="8"/>
        <v>0</v>
      </c>
      <c r="U128" s="39"/>
      <c r="V128" s="40"/>
      <c r="W128" s="40">
        <f t="shared" si="9"/>
        <v>0</v>
      </c>
      <c r="Y128" s="39">
        <v>0</v>
      </c>
      <c r="Z128" s="40"/>
      <c r="AA128" s="40">
        <f t="shared" si="10"/>
        <v>0</v>
      </c>
    </row>
    <row r="129" spans="1:27">
      <c r="A129" s="345"/>
      <c r="B129" s="346"/>
      <c r="C129" s="192"/>
      <c r="D129" s="197"/>
      <c r="E129" s="39"/>
      <c r="F129" s="40"/>
      <c r="G129" s="40">
        <f t="shared" si="11"/>
        <v>0</v>
      </c>
      <c r="H129" s="197"/>
      <c r="I129" s="39"/>
      <c r="J129" s="40"/>
      <c r="K129" s="40">
        <f t="shared" si="7"/>
        <v>0</v>
      </c>
      <c r="M129" s="39"/>
      <c r="N129" s="40"/>
      <c r="O129" s="40">
        <f t="shared" si="6"/>
        <v>0</v>
      </c>
      <c r="Q129" s="39"/>
      <c r="R129" s="40"/>
      <c r="S129" s="40">
        <f t="shared" si="8"/>
        <v>0</v>
      </c>
      <c r="U129" s="39"/>
      <c r="V129" s="40"/>
      <c r="W129" s="40">
        <f t="shared" si="9"/>
        <v>0</v>
      </c>
      <c r="Y129" s="39"/>
      <c r="Z129" s="40"/>
      <c r="AA129" s="40">
        <f t="shared" si="10"/>
        <v>0</v>
      </c>
    </row>
    <row r="130" spans="1:27">
      <c r="A130" s="345"/>
      <c r="B130" s="346"/>
      <c r="C130" s="328" t="s">
        <v>687</v>
      </c>
      <c r="D130" s="197"/>
      <c r="E130" s="39"/>
      <c r="F130" s="40"/>
      <c r="G130" s="40">
        <f t="shared" si="11"/>
        <v>0</v>
      </c>
      <c r="H130" s="197"/>
      <c r="I130" s="39"/>
      <c r="J130" s="40"/>
      <c r="K130" s="40">
        <f t="shared" si="7"/>
        <v>0</v>
      </c>
      <c r="M130" s="39"/>
      <c r="N130" s="40"/>
      <c r="O130" s="40">
        <f t="shared" si="6"/>
        <v>0</v>
      </c>
      <c r="Q130" s="39"/>
      <c r="R130" s="40"/>
      <c r="S130" s="40">
        <f t="shared" si="8"/>
        <v>0</v>
      </c>
      <c r="U130" s="39"/>
      <c r="V130" s="40"/>
      <c r="W130" s="40">
        <f t="shared" si="9"/>
        <v>0</v>
      </c>
      <c r="Y130" s="39"/>
      <c r="Z130" s="40"/>
      <c r="AA130" s="40">
        <f t="shared" si="10"/>
        <v>0</v>
      </c>
    </row>
    <row r="131" spans="1:27">
      <c r="A131" s="345"/>
      <c r="B131" s="346"/>
      <c r="C131" s="192" t="s">
        <v>688</v>
      </c>
      <c r="D131" s="197"/>
      <c r="E131" s="39"/>
      <c r="F131" s="40"/>
      <c r="G131" s="40">
        <f t="shared" si="11"/>
        <v>1540</v>
      </c>
      <c r="H131" s="197"/>
      <c r="I131" s="39"/>
      <c r="J131" s="40"/>
      <c r="K131" s="40">
        <f t="shared" si="7"/>
        <v>0</v>
      </c>
      <c r="M131" s="39"/>
      <c r="N131" s="40"/>
      <c r="O131" s="40">
        <f t="shared" si="6"/>
        <v>0</v>
      </c>
      <c r="Q131" s="39">
        <v>4</v>
      </c>
      <c r="R131" s="40">
        <v>220</v>
      </c>
      <c r="S131" s="40">
        <f t="shared" si="8"/>
        <v>880</v>
      </c>
      <c r="U131" s="39">
        <v>3</v>
      </c>
      <c r="V131" s="40">
        <v>220</v>
      </c>
      <c r="W131" s="40">
        <f t="shared" si="9"/>
        <v>660</v>
      </c>
      <c r="Y131" s="39"/>
      <c r="Z131" s="40"/>
      <c r="AA131" s="40">
        <f t="shared" si="10"/>
        <v>0</v>
      </c>
    </row>
    <row r="132" spans="1:27">
      <c r="A132" s="345"/>
      <c r="B132" s="346"/>
      <c r="C132" s="333" t="s">
        <v>455</v>
      </c>
      <c r="D132" s="197"/>
      <c r="E132" s="39"/>
      <c r="F132" s="40"/>
      <c r="G132" s="40">
        <f t="shared" si="11"/>
        <v>658</v>
      </c>
      <c r="H132" s="197"/>
      <c r="I132" s="39"/>
      <c r="J132" s="40"/>
      <c r="K132" s="40">
        <f t="shared" si="7"/>
        <v>0</v>
      </c>
      <c r="M132" s="39"/>
      <c r="N132" s="40"/>
      <c r="O132" s="40">
        <f t="shared" si="6"/>
        <v>0</v>
      </c>
      <c r="Q132" s="39">
        <v>14</v>
      </c>
      <c r="R132" s="40">
        <v>47</v>
      </c>
      <c r="S132" s="40">
        <f t="shared" si="8"/>
        <v>658</v>
      </c>
      <c r="U132" s="39"/>
      <c r="V132" s="40"/>
      <c r="W132" s="40">
        <f t="shared" si="9"/>
        <v>0</v>
      </c>
      <c r="Y132" s="39"/>
      <c r="Z132" s="40"/>
      <c r="AA132" s="40">
        <f t="shared" si="10"/>
        <v>0</v>
      </c>
    </row>
    <row r="133" spans="1:27">
      <c r="A133" s="345"/>
      <c r="B133" s="346"/>
      <c r="C133" s="333" t="s">
        <v>456</v>
      </c>
      <c r="D133" s="197"/>
      <c r="E133" s="39"/>
      <c r="F133" s="40"/>
      <c r="G133" s="40">
        <f t="shared" si="11"/>
        <v>448</v>
      </c>
      <c r="H133" s="197"/>
      <c r="I133" s="39"/>
      <c r="J133" s="40"/>
      <c r="K133" s="40">
        <f t="shared" si="7"/>
        <v>0</v>
      </c>
      <c r="M133" s="39"/>
      <c r="N133" s="40"/>
      <c r="O133" s="40">
        <f t="shared" si="6"/>
        <v>0</v>
      </c>
      <c r="Q133" s="39"/>
      <c r="R133" s="40"/>
      <c r="S133" s="40">
        <f t="shared" si="8"/>
        <v>0</v>
      </c>
      <c r="U133" s="39">
        <v>8</v>
      </c>
      <c r="V133" s="40">
        <v>56</v>
      </c>
      <c r="W133" s="40">
        <f t="shared" si="9"/>
        <v>448</v>
      </c>
      <c r="Y133" s="39"/>
      <c r="Z133" s="40"/>
      <c r="AA133" s="40">
        <f t="shared" si="10"/>
        <v>0</v>
      </c>
    </row>
    <row r="134" spans="1:27">
      <c r="A134" s="345"/>
      <c r="B134" s="346"/>
      <c r="C134" s="333" t="s">
        <v>457</v>
      </c>
      <c r="D134" s="197"/>
      <c r="E134" s="39"/>
      <c r="F134" s="40"/>
      <c r="G134" s="40">
        <f t="shared" si="11"/>
        <v>1172.5</v>
      </c>
      <c r="H134" s="197"/>
      <c r="I134" s="39"/>
      <c r="J134" s="40"/>
      <c r="K134" s="40">
        <f t="shared" si="7"/>
        <v>0</v>
      </c>
      <c r="M134" s="39"/>
      <c r="N134" s="40"/>
      <c r="O134" s="40">
        <f t="shared" ref="O134:O184" si="12">M134*N134</f>
        <v>0</v>
      </c>
      <c r="Q134" s="39">
        <v>14.5</v>
      </c>
      <c r="R134" s="40">
        <v>67</v>
      </c>
      <c r="S134" s="40">
        <f t="shared" si="8"/>
        <v>971.5</v>
      </c>
      <c r="U134" s="39">
        <v>3</v>
      </c>
      <c r="V134" s="40">
        <v>67</v>
      </c>
      <c r="W134" s="40">
        <f t="shared" si="9"/>
        <v>201</v>
      </c>
      <c r="Y134" s="39"/>
      <c r="Z134" s="40"/>
      <c r="AA134" s="40">
        <f t="shared" si="10"/>
        <v>0</v>
      </c>
    </row>
    <row r="135" spans="1:27" s="424" customFormat="1">
      <c r="A135" s="419"/>
      <c r="B135" s="420"/>
      <c r="C135" s="425" t="s">
        <v>458</v>
      </c>
      <c r="D135" s="422"/>
      <c r="E135" s="423"/>
      <c r="F135" s="368"/>
      <c r="G135" s="40">
        <f t="shared" si="11"/>
        <v>1275</v>
      </c>
      <c r="H135" s="422"/>
      <c r="I135" s="423"/>
      <c r="J135" s="368"/>
      <c r="K135" s="368">
        <f t="shared" si="7"/>
        <v>0</v>
      </c>
      <c r="M135" s="423"/>
      <c r="N135" s="368"/>
      <c r="O135" s="40">
        <f t="shared" si="12"/>
        <v>0</v>
      </c>
      <c r="Q135" s="423">
        <v>5</v>
      </c>
      <c r="R135" s="368">
        <v>75</v>
      </c>
      <c r="S135" s="40">
        <f t="shared" si="8"/>
        <v>375</v>
      </c>
      <c r="U135" s="423">
        <v>12</v>
      </c>
      <c r="V135" s="368">
        <v>75</v>
      </c>
      <c r="W135" s="40">
        <f t="shared" si="9"/>
        <v>900</v>
      </c>
      <c r="Y135" s="423"/>
      <c r="Z135" s="368"/>
      <c r="AA135" s="40">
        <f t="shared" si="10"/>
        <v>0</v>
      </c>
    </row>
    <row r="136" spans="1:27">
      <c r="A136" s="345"/>
      <c r="B136" s="346"/>
      <c r="C136" s="192" t="s">
        <v>689</v>
      </c>
      <c r="D136" s="197"/>
      <c r="E136" s="39"/>
      <c r="F136" s="40"/>
      <c r="G136" s="40">
        <f t="shared" si="11"/>
        <v>198</v>
      </c>
      <c r="H136" s="197"/>
      <c r="I136" s="39"/>
      <c r="J136" s="40"/>
      <c r="K136" s="40">
        <f t="shared" si="7"/>
        <v>0</v>
      </c>
      <c r="M136" s="39"/>
      <c r="N136" s="40"/>
      <c r="O136" s="40">
        <f t="shared" si="12"/>
        <v>0</v>
      </c>
      <c r="Q136" s="39">
        <v>2</v>
      </c>
      <c r="R136" s="40">
        <v>66</v>
      </c>
      <c r="S136" s="40">
        <f t="shared" ref="S136:S194" si="13">Q136*R136</f>
        <v>132</v>
      </c>
      <c r="U136" s="39">
        <v>1</v>
      </c>
      <c r="V136" s="40">
        <v>66</v>
      </c>
      <c r="W136" s="40">
        <f t="shared" ref="W136:W194" si="14">U136*V136</f>
        <v>66</v>
      </c>
      <c r="Y136" s="39"/>
      <c r="Z136" s="40"/>
      <c r="AA136" s="40">
        <f t="shared" ref="AA136:AA194" si="15">Y136*Z136</f>
        <v>0</v>
      </c>
    </row>
    <row r="137" spans="1:27">
      <c r="A137" s="345"/>
      <c r="B137" s="346"/>
      <c r="C137" s="192" t="s">
        <v>690</v>
      </c>
      <c r="D137" s="197"/>
      <c r="E137" s="39"/>
      <c r="F137" s="40"/>
      <c r="G137" s="40">
        <f t="shared" si="11"/>
        <v>3600</v>
      </c>
      <c r="H137" s="197"/>
      <c r="I137" s="39"/>
      <c r="J137" s="40"/>
      <c r="K137" s="40">
        <f t="shared" si="7"/>
        <v>0</v>
      </c>
      <c r="M137" s="39"/>
      <c r="N137" s="40"/>
      <c r="O137" s="40">
        <f t="shared" si="12"/>
        <v>0</v>
      </c>
      <c r="Q137" s="39">
        <v>2</v>
      </c>
      <c r="R137" s="40">
        <v>1200</v>
      </c>
      <c r="S137" s="40">
        <f t="shared" si="13"/>
        <v>2400</v>
      </c>
      <c r="U137" s="39">
        <v>1</v>
      </c>
      <c r="V137" s="40">
        <v>1200</v>
      </c>
      <c r="W137" s="40">
        <f t="shared" si="14"/>
        <v>1200</v>
      </c>
      <c r="Y137" s="39"/>
      <c r="Z137" s="40"/>
      <c r="AA137" s="40">
        <f t="shared" si="15"/>
        <v>0</v>
      </c>
    </row>
    <row r="138" spans="1:27">
      <c r="A138" s="345"/>
      <c r="B138" s="346"/>
      <c r="C138" s="192"/>
      <c r="D138" s="197"/>
      <c r="E138" s="39"/>
      <c r="F138" s="40"/>
      <c r="G138" s="40">
        <f t="shared" si="11"/>
        <v>0</v>
      </c>
      <c r="H138" s="197"/>
      <c r="I138" s="39"/>
      <c r="J138" s="40"/>
      <c r="K138" s="40">
        <f t="shared" si="7"/>
        <v>0</v>
      </c>
      <c r="M138" s="39"/>
      <c r="N138" s="40"/>
      <c r="O138" s="40">
        <f t="shared" si="12"/>
        <v>0</v>
      </c>
      <c r="Q138" s="39"/>
      <c r="R138" s="40"/>
      <c r="S138" s="40">
        <f t="shared" si="13"/>
        <v>0</v>
      </c>
      <c r="U138" s="39"/>
      <c r="V138" s="40"/>
      <c r="W138" s="40">
        <f t="shared" si="14"/>
        <v>0</v>
      </c>
      <c r="Y138" s="39"/>
      <c r="Z138" s="40"/>
      <c r="AA138" s="40">
        <f t="shared" si="15"/>
        <v>0</v>
      </c>
    </row>
    <row r="139" spans="1:27">
      <c r="A139" s="345"/>
      <c r="B139" s="346" t="s">
        <v>997</v>
      </c>
      <c r="C139" s="324" t="s">
        <v>691</v>
      </c>
      <c r="D139" s="197"/>
      <c r="E139" s="39"/>
      <c r="F139" s="40"/>
      <c r="G139" s="40">
        <f t="shared" si="11"/>
        <v>0</v>
      </c>
      <c r="H139" s="197"/>
      <c r="I139" s="39"/>
      <c r="J139" s="40"/>
      <c r="K139" s="40">
        <f t="shared" ref="K139:K185" si="16">I139*J139</f>
        <v>0</v>
      </c>
      <c r="M139" s="39"/>
      <c r="N139" s="40"/>
      <c r="O139" s="40">
        <f t="shared" si="12"/>
        <v>0</v>
      </c>
      <c r="Q139" s="39"/>
      <c r="R139" s="40"/>
      <c r="S139" s="40">
        <f t="shared" si="13"/>
        <v>0</v>
      </c>
      <c r="U139" s="39"/>
      <c r="V139" s="40"/>
      <c r="W139" s="40">
        <f t="shared" si="14"/>
        <v>0</v>
      </c>
      <c r="Y139" s="39"/>
      <c r="Z139" s="40"/>
      <c r="AA139" s="40">
        <f t="shared" si="15"/>
        <v>0</v>
      </c>
    </row>
    <row r="140" spans="1:27" ht="27.6">
      <c r="A140" s="345"/>
      <c r="B140" s="346"/>
      <c r="C140" s="192" t="s">
        <v>692</v>
      </c>
      <c r="D140" s="197" t="s">
        <v>486</v>
      </c>
      <c r="E140" s="39"/>
      <c r="F140" s="40"/>
      <c r="G140" s="40">
        <f t="shared" ref="G140:G185" si="17">K140+O140+S140+W140+AA140</f>
        <v>0</v>
      </c>
      <c r="H140" s="197"/>
      <c r="I140" s="39"/>
      <c r="J140" s="40"/>
      <c r="K140" s="40">
        <f t="shared" si="16"/>
        <v>0</v>
      </c>
      <c r="M140" s="39"/>
      <c r="N140" s="40"/>
      <c r="O140" s="40">
        <f t="shared" si="12"/>
        <v>0</v>
      </c>
      <c r="Q140" s="39"/>
      <c r="R140" s="40"/>
      <c r="S140" s="40">
        <f t="shared" si="13"/>
        <v>0</v>
      </c>
      <c r="U140" s="39"/>
      <c r="V140" s="40"/>
      <c r="W140" s="40">
        <f t="shared" si="14"/>
        <v>0</v>
      </c>
      <c r="Y140" s="39"/>
      <c r="Z140" s="40"/>
      <c r="AA140" s="40">
        <f t="shared" si="15"/>
        <v>0</v>
      </c>
    </row>
    <row r="141" spans="1:27" ht="27.6">
      <c r="A141" s="345"/>
      <c r="B141" s="346"/>
      <c r="C141" s="192" t="s">
        <v>998</v>
      </c>
      <c r="D141" s="197" t="s">
        <v>486</v>
      </c>
      <c r="E141" s="39"/>
      <c r="F141" s="40"/>
      <c r="G141" s="40">
        <f t="shared" si="17"/>
        <v>0</v>
      </c>
      <c r="H141" s="197"/>
      <c r="I141" s="39"/>
      <c r="J141" s="40"/>
      <c r="K141" s="40">
        <f t="shared" si="16"/>
        <v>0</v>
      </c>
      <c r="M141" s="39"/>
      <c r="N141" s="40"/>
      <c r="O141" s="40">
        <f t="shared" si="12"/>
        <v>0</v>
      </c>
      <c r="Q141" s="39"/>
      <c r="R141" s="40"/>
      <c r="S141" s="40">
        <f t="shared" si="13"/>
        <v>0</v>
      </c>
      <c r="U141" s="39"/>
      <c r="V141" s="40"/>
      <c r="W141" s="40">
        <f t="shared" si="14"/>
        <v>0</v>
      </c>
      <c r="Y141" s="39"/>
      <c r="Z141" s="40"/>
      <c r="AA141" s="40">
        <f t="shared" si="15"/>
        <v>0</v>
      </c>
    </row>
    <row r="142" spans="1:27">
      <c r="A142" s="345"/>
      <c r="B142" s="346"/>
      <c r="C142" s="192" t="s">
        <v>483</v>
      </c>
      <c r="D142" s="197" t="s">
        <v>6</v>
      </c>
      <c r="E142" s="39"/>
      <c r="F142" s="40"/>
      <c r="G142" s="40">
        <f t="shared" si="17"/>
        <v>35596.439999999995</v>
      </c>
      <c r="H142" s="197"/>
      <c r="I142" s="39">
        <v>0.03</v>
      </c>
      <c r="J142" s="40">
        <v>35244</v>
      </c>
      <c r="K142" s="40">
        <f t="shared" si="16"/>
        <v>1057.32</v>
      </c>
      <c r="M142" s="39">
        <v>0.27</v>
      </c>
      <c r="N142" s="40">
        <v>35244</v>
      </c>
      <c r="O142" s="40">
        <f t="shared" si="12"/>
        <v>9515.880000000001</v>
      </c>
      <c r="Q142" s="39">
        <v>0.32</v>
      </c>
      <c r="R142" s="40">
        <v>35244</v>
      </c>
      <c r="S142" s="40">
        <f t="shared" si="13"/>
        <v>11278.08</v>
      </c>
      <c r="U142" s="39">
        <v>0.37</v>
      </c>
      <c r="V142" s="40">
        <v>35244</v>
      </c>
      <c r="W142" s="40">
        <f t="shared" si="14"/>
        <v>13040.28</v>
      </c>
      <c r="Y142" s="39">
        <v>0.02</v>
      </c>
      <c r="Z142" s="40">
        <v>35244</v>
      </c>
      <c r="AA142" s="40">
        <f t="shared" si="15"/>
        <v>704.88</v>
      </c>
    </row>
    <row r="143" spans="1:27">
      <c r="A143" s="345"/>
      <c r="B143" s="346"/>
      <c r="C143" s="192"/>
      <c r="D143" s="197"/>
      <c r="E143" s="39"/>
      <c r="F143" s="40"/>
      <c r="G143" s="40">
        <f t="shared" si="17"/>
        <v>0</v>
      </c>
      <c r="H143" s="197"/>
      <c r="I143" s="39"/>
      <c r="J143" s="40"/>
      <c r="K143" s="40">
        <f t="shared" si="16"/>
        <v>0</v>
      </c>
      <c r="M143" s="39"/>
      <c r="N143" s="40"/>
      <c r="O143" s="40">
        <f t="shared" si="12"/>
        <v>0</v>
      </c>
      <c r="Q143" s="39"/>
      <c r="R143" s="40"/>
      <c r="S143" s="40">
        <f t="shared" si="13"/>
        <v>0</v>
      </c>
      <c r="U143" s="39"/>
      <c r="V143" s="40"/>
      <c r="W143" s="40">
        <f t="shared" si="14"/>
        <v>0</v>
      </c>
      <c r="Y143" s="39"/>
      <c r="Z143" s="40"/>
      <c r="AA143" s="40">
        <f t="shared" si="15"/>
        <v>0</v>
      </c>
    </row>
    <row r="144" spans="1:27">
      <c r="A144" s="345"/>
      <c r="B144" s="418" t="s">
        <v>83</v>
      </c>
      <c r="C144" s="324" t="s">
        <v>466</v>
      </c>
      <c r="D144" s="325"/>
      <c r="E144" s="39"/>
      <c r="F144" s="327"/>
      <c r="G144" s="40">
        <f t="shared" si="17"/>
        <v>0</v>
      </c>
      <c r="H144" s="325"/>
      <c r="I144" s="326"/>
      <c r="J144" s="327"/>
      <c r="K144" s="40">
        <f t="shared" si="16"/>
        <v>0</v>
      </c>
      <c r="M144" s="326"/>
      <c r="N144" s="327"/>
      <c r="O144" s="40">
        <f t="shared" si="12"/>
        <v>0</v>
      </c>
      <c r="Q144" s="326"/>
      <c r="R144" s="327"/>
      <c r="S144" s="40">
        <f t="shared" si="13"/>
        <v>0</v>
      </c>
      <c r="U144" s="326"/>
      <c r="V144" s="327"/>
      <c r="W144" s="40">
        <f t="shared" si="14"/>
        <v>0</v>
      </c>
      <c r="Y144" s="326"/>
      <c r="Z144" s="327"/>
      <c r="AA144" s="40">
        <f t="shared" si="15"/>
        <v>0</v>
      </c>
    </row>
    <row r="145" spans="1:27">
      <c r="A145" s="345"/>
      <c r="B145" s="346" t="s">
        <v>999</v>
      </c>
      <c r="C145" s="328" t="s">
        <v>1000</v>
      </c>
      <c r="D145" s="197"/>
      <c r="E145" s="39"/>
      <c r="F145" s="40"/>
      <c r="G145" s="40">
        <f t="shared" si="17"/>
        <v>0</v>
      </c>
      <c r="H145" s="197"/>
      <c r="I145" s="39"/>
      <c r="J145" s="40"/>
      <c r="K145" s="40">
        <f t="shared" si="16"/>
        <v>0</v>
      </c>
      <c r="M145" s="39"/>
      <c r="N145" s="40"/>
      <c r="O145" s="40">
        <f t="shared" si="12"/>
        <v>0</v>
      </c>
      <c r="Q145" s="39"/>
      <c r="R145" s="40"/>
      <c r="S145" s="40">
        <f t="shared" si="13"/>
        <v>0</v>
      </c>
      <c r="U145" s="39"/>
      <c r="V145" s="40"/>
      <c r="W145" s="40">
        <f t="shared" si="14"/>
        <v>0</v>
      </c>
      <c r="Y145" s="39"/>
      <c r="Z145" s="40"/>
      <c r="AA145" s="40">
        <f t="shared" si="15"/>
        <v>0</v>
      </c>
    </row>
    <row r="146" spans="1:27">
      <c r="A146" s="345"/>
      <c r="B146" s="346"/>
      <c r="C146" s="192" t="s">
        <v>467</v>
      </c>
      <c r="D146" s="197"/>
      <c r="E146" s="39"/>
      <c r="F146" s="40"/>
      <c r="G146" s="40">
        <f t="shared" si="17"/>
        <v>0</v>
      </c>
      <c r="H146" s="197"/>
      <c r="I146" s="39"/>
      <c r="J146" s="40"/>
      <c r="K146" s="40">
        <f t="shared" si="16"/>
        <v>0</v>
      </c>
      <c r="M146" s="39"/>
      <c r="N146" s="40"/>
      <c r="O146" s="40">
        <f t="shared" si="12"/>
        <v>0</v>
      </c>
      <c r="Q146" s="39"/>
      <c r="R146" s="40"/>
      <c r="S146" s="40">
        <f t="shared" si="13"/>
        <v>0</v>
      </c>
      <c r="U146" s="39"/>
      <c r="V146" s="40"/>
      <c r="W146" s="40">
        <f t="shared" si="14"/>
        <v>0</v>
      </c>
      <c r="Y146" s="39"/>
      <c r="Z146" s="40"/>
      <c r="AA146" s="40">
        <f t="shared" si="15"/>
        <v>0</v>
      </c>
    </row>
    <row r="147" spans="1:27">
      <c r="A147" s="345"/>
      <c r="B147" s="346"/>
      <c r="C147" s="192" t="s">
        <v>468</v>
      </c>
      <c r="D147" s="197" t="s">
        <v>398</v>
      </c>
      <c r="E147" s="39"/>
      <c r="F147" s="40"/>
      <c r="G147" s="40">
        <f t="shared" si="17"/>
        <v>1162</v>
      </c>
      <c r="H147" s="197"/>
      <c r="I147" s="39"/>
      <c r="J147" s="40"/>
      <c r="K147" s="40">
        <f t="shared" si="16"/>
        <v>0</v>
      </c>
      <c r="M147" s="39"/>
      <c r="N147" s="40"/>
      <c r="O147" s="40">
        <f t="shared" si="12"/>
        <v>0</v>
      </c>
      <c r="Q147" s="39"/>
      <c r="R147" s="40"/>
      <c r="S147" s="40">
        <f t="shared" si="13"/>
        <v>0</v>
      </c>
      <c r="U147" s="39">
        <v>1</v>
      </c>
      <c r="V147" s="40">
        <v>1162</v>
      </c>
      <c r="W147" s="40">
        <f t="shared" si="14"/>
        <v>1162</v>
      </c>
      <c r="Y147" s="39"/>
      <c r="Z147" s="40"/>
      <c r="AA147" s="40">
        <f t="shared" si="15"/>
        <v>0</v>
      </c>
    </row>
    <row r="148" spans="1:27">
      <c r="A148" s="345"/>
      <c r="B148" s="346"/>
      <c r="C148" s="192" t="s">
        <v>469</v>
      </c>
      <c r="D148" s="197" t="s">
        <v>11</v>
      </c>
      <c r="E148" s="39"/>
      <c r="F148" s="40"/>
      <c r="G148" s="40">
        <f t="shared" si="17"/>
        <v>9828</v>
      </c>
      <c r="H148" s="197"/>
      <c r="I148" s="39"/>
      <c r="J148" s="40"/>
      <c r="K148" s="40">
        <f t="shared" si="16"/>
        <v>0</v>
      </c>
      <c r="M148" s="39"/>
      <c r="N148" s="40"/>
      <c r="O148" s="40">
        <f t="shared" si="12"/>
        <v>0</v>
      </c>
      <c r="Q148" s="39"/>
      <c r="R148" s="40"/>
      <c r="S148" s="40">
        <f t="shared" si="13"/>
        <v>0</v>
      </c>
      <c r="U148" s="39">
        <v>63</v>
      </c>
      <c r="V148" s="40">
        <v>156</v>
      </c>
      <c r="W148" s="40">
        <f t="shared" si="14"/>
        <v>9828</v>
      </c>
      <c r="Y148" s="39"/>
      <c r="Z148" s="40"/>
      <c r="AA148" s="40">
        <f t="shared" si="15"/>
        <v>0</v>
      </c>
    </row>
    <row r="149" spans="1:27">
      <c r="A149" s="345"/>
      <c r="B149" s="346"/>
      <c r="C149" s="192" t="s">
        <v>470</v>
      </c>
      <c r="D149" s="197" t="s">
        <v>398</v>
      </c>
      <c r="E149" s="39"/>
      <c r="F149" s="40"/>
      <c r="G149" s="40">
        <f t="shared" si="17"/>
        <v>812</v>
      </c>
      <c r="H149" s="197"/>
      <c r="I149" s="39"/>
      <c r="J149" s="40"/>
      <c r="K149" s="40">
        <f t="shared" si="16"/>
        <v>0</v>
      </c>
      <c r="M149" s="39"/>
      <c r="N149" s="40"/>
      <c r="O149" s="40">
        <f t="shared" si="12"/>
        <v>0</v>
      </c>
      <c r="Q149" s="39"/>
      <c r="R149" s="40"/>
      <c r="S149" s="40">
        <f t="shared" si="13"/>
        <v>0</v>
      </c>
      <c r="U149" s="39">
        <v>1</v>
      </c>
      <c r="V149" s="40">
        <v>812</v>
      </c>
      <c r="W149" s="40">
        <f t="shared" si="14"/>
        <v>812</v>
      </c>
      <c r="Y149" s="39"/>
      <c r="Z149" s="40"/>
      <c r="AA149" s="40">
        <f t="shared" si="15"/>
        <v>0</v>
      </c>
    </row>
    <row r="150" spans="1:27">
      <c r="A150" s="345"/>
      <c r="B150" s="346"/>
      <c r="C150" s="192" t="s">
        <v>471</v>
      </c>
      <c r="D150" s="197" t="s">
        <v>398</v>
      </c>
      <c r="E150" s="39"/>
      <c r="F150" s="40"/>
      <c r="G150" s="40">
        <f t="shared" si="17"/>
        <v>5770</v>
      </c>
      <c r="H150" s="197"/>
      <c r="I150" s="39"/>
      <c r="J150" s="40"/>
      <c r="K150" s="40">
        <f t="shared" si="16"/>
        <v>0</v>
      </c>
      <c r="M150" s="39"/>
      <c r="N150" s="40"/>
      <c r="O150" s="40">
        <f t="shared" si="12"/>
        <v>0</v>
      </c>
      <c r="Q150" s="39"/>
      <c r="R150" s="40"/>
      <c r="S150" s="40">
        <f t="shared" si="13"/>
        <v>0</v>
      </c>
      <c r="U150" s="39">
        <v>1</v>
      </c>
      <c r="V150" s="40">
        <v>5770</v>
      </c>
      <c r="W150" s="40">
        <f t="shared" si="14"/>
        <v>5770</v>
      </c>
      <c r="Y150" s="39"/>
      <c r="Z150" s="40"/>
      <c r="AA150" s="40">
        <f t="shared" si="15"/>
        <v>0</v>
      </c>
    </row>
    <row r="151" spans="1:27">
      <c r="A151" s="345"/>
      <c r="B151" s="346"/>
      <c r="C151" s="192" t="s">
        <v>472</v>
      </c>
      <c r="D151" s="197" t="s">
        <v>398</v>
      </c>
      <c r="E151" s="39"/>
      <c r="F151" s="40"/>
      <c r="G151" s="40">
        <f t="shared" si="17"/>
        <v>2650</v>
      </c>
      <c r="H151" s="197"/>
      <c r="I151" s="39"/>
      <c r="J151" s="40"/>
      <c r="K151" s="40">
        <f t="shared" si="16"/>
        <v>0</v>
      </c>
      <c r="M151" s="39"/>
      <c r="N151" s="40"/>
      <c r="O151" s="40">
        <f t="shared" si="12"/>
        <v>0</v>
      </c>
      <c r="Q151" s="39"/>
      <c r="R151" s="40"/>
      <c r="S151" s="40">
        <f t="shared" si="13"/>
        <v>0</v>
      </c>
      <c r="U151" s="39">
        <v>1</v>
      </c>
      <c r="V151" s="40">
        <v>2650</v>
      </c>
      <c r="W151" s="40">
        <f t="shared" si="14"/>
        <v>2650</v>
      </c>
      <c r="Y151" s="39"/>
      <c r="Z151" s="40"/>
      <c r="AA151" s="40">
        <f t="shared" si="15"/>
        <v>0</v>
      </c>
    </row>
    <row r="152" spans="1:27">
      <c r="A152" s="345"/>
      <c r="B152" s="346"/>
      <c r="C152" s="192"/>
      <c r="D152" s="197"/>
      <c r="E152" s="39"/>
      <c r="F152" s="40"/>
      <c r="G152" s="40">
        <f t="shared" si="17"/>
        <v>0</v>
      </c>
      <c r="H152" s="197"/>
      <c r="I152" s="39"/>
      <c r="J152" s="40"/>
      <c r="K152" s="40">
        <f t="shared" si="16"/>
        <v>0</v>
      </c>
      <c r="M152" s="39"/>
      <c r="N152" s="40"/>
      <c r="O152" s="40">
        <f t="shared" si="12"/>
        <v>0</v>
      </c>
      <c r="Q152" s="39"/>
      <c r="R152" s="40"/>
      <c r="S152" s="40">
        <f t="shared" si="13"/>
        <v>0</v>
      </c>
      <c r="U152" s="39"/>
      <c r="V152" s="40"/>
      <c r="W152" s="40">
        <f t="shared" si="14"/>
        <v>0</v>
      </c>
      <c r="Y152" s="39"/>
      <c r="Z152" s="40"/>
      <c r="AA152" s="40">
        <f t="shared" si="15"/>
        <v>0</v>
      </c>
    </row>
    <row r="153" spans="1:27">
      <c r="A153" s="345"/>
      <c r="B153" s="346" t="s">
        <v>1001</v>
      </c>
      <c r="C153" s="192" t="s">
        <v>1002</v>
      </c>
      <c r="D153" s="197"/>
      <c r="E153" s="39"/>
      <c r="F153" s="40"/>
      <c r="G153" s="40">
        <f t="shared" si="17"/>
        <v>0</v>
      </c>
      <c r="H153" s="197"/>
      <c r="I153" s="39"/>
      <c r="J153" s="40"/>
      <c r="K153" s="40">
        <f t="shared" si="16"/>
        <v>0</v>
      </c>
      <c r="M153" s="39"/>
      <c r="N153" s="40"/>
      <c r="O153" s="40">
        <f t="shared" si="12"/>
        <v>0</v>
      </c>
      <c r="Q153" s="39"/>
      <c r="R153" s="40"/>
      <c r="S153" s="40">
        <f t="shared" si="13"/>
        <v>0</v>
      </c>
      <c r="U153" s="39"/>
      <c r="V153" s="40"/>
      <c r="W153" s="40">
        <f t="shared" si="14"/>
        <v>0</v>
      </c>
      <c r="Y153" s="39"/>
      <c r="Z153" s="40"/>
      <c r="AA153" s="40">
        <f t="shared" si="15"/>
        <v>0</v>
      </c>
    </row>
    <row r="154" spans="1:27">
      <c r="A154" s="345"/>
      <c r="B154" s="346"/>
      <c r="C154" s="192" t="s">
        <v>473</v>
      </c>
      <c r="D154" s="197"/>
      <c r="E154" s="39"/>
      <c r="F154" s="40"/>
      <c r="G154" s="40">
        <f t="shared" si="17"/>
        <v>0</v>
      </c>
      <c r="H154" s="197"/>
      <c r="I154" s="39"/>
      <c r="J154" s="40"/>
      <c r="K154" s="40">
        <f t="shared" si="16"/>
        <v>0</v>
      </c>
      <c r="M154" s="39"/>
      <c r="N154" s="40"/>
      <c r="O154" s="40">
        <f t="shared" si="12"/>
        <v>0</v>
      </c>
      <c r="Q154" s="39"/>
      <c r="R154" s="40"/>
      <c r="S154" s="40">
        <f t="shared" si="13"/>
        <v>0</v>
      </c>
      <c r="U154" s="39"/>
      <c r="V154" s="40"/>
      <c r="W154" s="40">
        <f t="shared" si="14"/>
        <v>0</v>
      </c>
      <c r="Y154" s="39"/>
      <c r="Z154" s="40"/>
      <c r="AA154" s="40">
        <f t="shared" si="15"/>
        <v>0</v>
      </c>
    </row>
    <row r="155" spans="1:27">
      <c r="A155" s="345"/>
      <c r="B155" s="346"/>
      <c r="C155" s="192" t="s">
        <v>474</v>
      </c>
      <c r="D155" s="197" t="s">
        <v>398</v>
      </c>
      <c r="E155" s="39"/>
      <c r="F155" s="40"/>
      <c r="G155" s="40">
        <f t="shared" si="17"/>
        <v>1660</v>
      </c>
      <c r="H155" s="197"/>
      <c r="I155" s="39"/>
      <c r="J155" s="40"/>
      <c r="K155" s="40">
        <f t="shared" si="16"/>
        <v>0</v>
      </c>
      <c r="M155" s="39">
        <v>1</v>
      </c>
      <c r="N155" s="40">
        <v>1660</v>
      </c>
      <c r="O155" s="40">
        <f t="shared" si="12"/>
        <v>1660</v>
      </c>
      <c r="Q155" s="39"/>
      <c r="R155" s="40"/>
      <c r="S155" s="40">
        <f t="shared" si="13"/>
        <v>0</v>
      </c>
      <c r="U155" s="39"/>
      <c r="V155" s="40"/>
      <c r="W155" s="40">
        <f t="shared" si="14"/>
        <v>0</v>
      </c>
      <c r="Y155" s="39"/>
      <c r="Z155" s="40"/>
      <c r="AA155" s="40">
        <f t="shared" si="15"/>
        <v>0</v>
      </c>
    </row>
    <row r="156" spans="1:27">
      <c r="A156" s="345"/>
      <c r="B156" s="346"/>
      <c r="C156" s="192" t="s">
        <v>469</v>
      </c>
      <c r="D156" s="197" t="s">
        <v>11</v>
      </c>
      <c r="E156" s="39"/>
      <c r="F156" s="40"/>
      <c r="G156" s="40">
        <f t="shared" si="17"/>
        <v>6318</v>
      </c>
      <c r="H156" s="197"/>
      <c r="I156" s="39"/>
      <c r="J156" s="40"/>
      <c r="K156" s="40">
        <f t="shared" si="16"/>
        <v>0</v>
      </c>
      <c r="M156" s="39">
        <v>40.5</v>
      </c>
      <c r="N156" s="40">
        <v>156</v>
      </c>
      <c r="O156" s="40">
        <f t="shared" si="12"/>
        <v>6318</v>
      </c>
      <c r="Q156" s="39"/>
      <c r="R156" s="40"/>
      <c r="S156" s="40">
        <f t="shared" si="13"/>
        <v>0</v>
      </c>
      <c r="U156" s="39"/>
      <c r="V156" s="40"/>
      <c r="W156" s="40">
        <f t="shared" si="14"/>
        <v>0</v>
      </c>
      <c r="Y156" s="39"/>
      <c r="Z156" s="40"/>
      <c r="AA156" s="40">
        <f t="shared" si="15"/>
        <v>0</v>
      </c>
    </row>
    <row r="157" spans="1:27">
      <c r="A157" s="345"/>
      <c r="B157" s="346"/>
      <c r="C157" s="192" t="s">
        <v>470</v>
      </c>
      <c r="D157" s="197" t="s">
        <v>398</v>
      </c>
      <c r="E157" s="39"/>
      <c r="F157" s="40"/>
      <c r="G157" s="40">
        <f t="shared" si="17"/>
        <v>0</v>
      </c>
      <c r="H157" s="197"/>
      <c r="I157" s="39"/>
      <c r="J157" s="40"/>
      <c r="K157" s="40">
        <f t="shared" si="16"/>
        <v>0</v>
      </c>
      <c r="M157" s="39"/>
      <c r="N157" s="40"/>
      <c r="O157" s="40">
        <f t="shared" si="12"/>
        <v>0</v>
      </c>
      <c r="Q157" s="39"/>
      <c r="R157" s="40"/>
      <c r="S157" s="40">
        <f t="shared" si="13"/>
        <v>0</v>
      </c>
      <c r="U157" s="39"/>
      <c r="V157" s="40"/>
      <c r="W157" s="40">
        <f t="shared" si="14"/>
        <v>0</v>
      </c>
      <c r="Y157" s="39"/>
      <c r="Z157" s="40"/>
      <c r="AA157" s="40">
        <f t="shared" si="15"/>
        <v>0</v>
      </c>
    </row>
    <row r="158" spans="1:27">
      <c r="A158" s="345"/>
      <c r="B158" s="346"/>
      <c r="C158" s="192" t="s">
        <v>475</v>
      </c>
      <c r="D158" s="197" t="s">
        <v>398</v>
      </c>
      <c r="E158" s="39"/>
      <c r="F158" s="40"/>
      <c r="G158" s="40">
        <f t="shared" si="17"/>
        <v>885</v>
      </c>
      <c r="H158" s="197"/>
      <c r="I158" s="39"/>
      <c r="J158" s="40"/>
      <c r="K158" s="40">
        <f t="shared" si="16"/>
        <v>0</v>
      </c>
      <c r="M158" s="39">
        <v>1</v>
      </c>
      <c r="N158" s="40">
        <v>885</v>
      </c>
      <c r="O158" s="40">
        <f t="shared" si="12"/>
        <v>885</v>
      </c>
      <c r="Q158" s="39"/>
      <c r="R158" s="40"/>
      <c r="S158" s="40">
        <f t="shared" si="13"/>
        <v>0</v>
      </c>
      <c r="U158" s="39"/>
      <c r="V158" s="40"/>
      <c r="W158" s="40">
        <f t="shared" si="14"/>
        <v>0</v>
      </c>
      <c r="Y158" s="39"/>
      <c r="Z158" s="40"/>
      <c r="AA158" s="40">
        <f t="shared" si="15"/>
        <v>0</v>
      </c>
    </row>
    <row r="159" spans="1:27">
      <c r="A159" s="345"/>
      <c r="B159" s="346"/>
      <c r="C159" s="192" t="s">
        <v>468</v>
      </c>
      <c r="D159" s="197" t="s">
        <v>398</v>
      </c>
      <c r="E159" s="39"/>
      <c r="F159" s="40"/>
      <c r="G159" s="40">
        <f t="shared" si="17"/>
        <v>2486</v>
      </c>
      <c r="H159" s="197"/>
      <c r="I159" s="39"/>
      <c r="J159" s="40"/>
      <c r="K159" s="40">
        <f t="shared" si="16"/>
        <v>0</v>
      </c>
      <c r="M159" s="39">
        <v>1</v>
      </c>
      <c r="N159" s="40">
        <v>2486</v>
      </c>
      <c r="O159" s="40">
        <f t="shared" si="12"/>
        <v>2486</v>
      </c>
      <c r="Q159" s="39"/>
      <c r="R159" s="40"/>
      <c r="S159" s="40">
        <f t="shared" si="13"/>
        <v>0</v>
      </c>
      <c r="U159" s="39"/>
      <c r="V159" s="40"/>
      <c r="W159" s="40">
        <f t="shared" si="14"/>
        <v>0</v>
      </c>
      <c r="Y159" s="39"/>
      <c r="Z159" s="40"/>
      <c r="AA159" s="40">
        <f t="shared" si="15"/>
        <v>0</v>
      </c>
    </row>
    <row r="160" spans="1:27">
      <c r="A160" s="345"/>
      <c r="B160" s="346"/>
      <c r="C160" s="192" t="s">
        <v>469</v>
      </c>
      <c r="D160" s="197" t="s">
        <v>11</v>
      </c>
      <c r="E160" s="39"/>
      <c r="F160" s="40"/>
      <c r="G160" s="40">
        <f t="shared" si="17"/>
        <v>16848</v>
      </c>
      <c r="H160" s="197"/>
      <c r="I160" s="39"/>
      <c r="J160" s="40"/>
      <c r="K160" s="40">
        <f t="shared" si="16"/>
        <v>0</v>
      </c>
      <c r="M160" s="39">
        <v>108</v>
      </c>
      <c r="N160" s="40">
        <v>156</v>
      </c>
      <c r="O160" s="40">
        <f t="shared" si="12"/>
        <v>16848</v>
      </c>
      <c r="Q160" s="39"/>
      <c r="R160" s="40"/>
      <c r="S160" s="40">
        <f t="shared" si="13"/>
        <v>0</v>
      </c>
      <c r="U160" s="39"/>
      <c r="V160" s="40"/>
      <c r="W160" s="40">
        <f t="shared" si="14"/>
        <v>0</v>
      </c>
      <c r="Y160" s="39"/>
      <c r="Z160" s="40"/>
      <c r="AA160" s="40">
        <f t="shared" si="15"/>
        <v>0</v>
      </c>
    </row>
    <row r="161" spans="1:27">
      <c r="A161" s="345"/>
      <c r="B161" s="346"/>
      <c r="C161" s="192" t="s">
        <v>470</v>
      </c>
      <c r="D161" s="197" t="s">
        <v>398</v>
      </c>
      <c r="E161" s="39"/>
      <c r="F161" s="40"/>
      <c r="G161" s="40">
        <f t="shared" si="17"/>
        <v>812</v>
      </c>
      <c r="H161" s="197"/>
      <c r="I161" s="39"/>
      <c r="J161" s="40"/>
      <c r="K161" s="40">
        <f t="shared" si="16"/>
        <v>0</v>
      </c>
      <c r="M161" s="39">
        <v>1</v>
      </c>
      <c r="N161" s="40">
        <v>812</v>
      </c>
      <c r="O161" s="40">
        <f t="shared" si="12"/>
        <v>812</v>
      </c>
      <c r="Q161" s="39"/>
      <c r="R161" s="40"/>
      <c r="S161" s="40">
        <f t="shared" si="13"/>
        <v>0</v>
      </c>
      <c r="U161" s="39"/>
      <c r="V161" s="40"/>
      <c r="W161" s="40">
        <f t="shared" si="14"/>
        <v>0</v>
      </c>
      <c r="Y161" s="39"/>
      <c r="Z161" s="40"/>
      <c r="AA161" s="40">
        <f t="shared" si="15"/>
        <v>0</v>
      </c>
    </row>
    <row r="162" spans="1:27">
      <c r="A162" s="345"/>
      <c r="B162" s="346"/>
      <c r="C162" s="192" t="s">
        <v>471</v>
      </c>
      <c r="D162" s="197" t="s">
        <v>398</v>
      </c>
      <c r="E162" s="39"/>
      <c r="F162" s="40"/>
      <c r="G162" s="40">
        <f t="shared" si="17"/>
        <v>5770</v>
      </c>
      <c r="H162" s="197"/>
      <c r="I162" s="39"/>
      <c r="J162" s="40"/>
      <c r="K162" s="40">
        <f t="shared" si="16"/>
        <v>0</v>
      </c>
      <c r="M162" s="39">
        <v>1</v>
      </c>
      <c r="N162" s="40">
        <v>5770</v>
      </c>
      <c r="O162" s="40">
        <f t="shared" si="12"/>
        <v>5770</v>
      </c>
      <c r="Q162" s="39"/>
      <c r="R162" s="40"/>
      <c r="S162" s="40">
        <f t="shared" si="13"/>
        <v>0</v>
      </c>
      <c r="U162" s="39"/>
      <c r="V162" s="40"/>
      <c r="W162" s="40">
        <f t="shared" si="14"/>
        <v>0</v>
      </c>
      <c r="Y162" s="39"/>
      <c r="Z162" s="40"/>
      <c r="AA162" s="40">
        <f t="shared" si="15"/>
        <v>0</v>
      </c>
    </row>
    <row r="163" spans="1:27">
      <c r="A163" s="345"/>
      <c r="B163" s="346"/>
      <c r="C163" s="192" t="s">
        <v>472</v>
      </c>
      <c r="D163" s="197" t="s">
        <v>398</v>
      </c>
      <c r="E163" s="39"/>
      <c r="F163" s="40"/>
      <c r="G163" s="40">
        <f t="shared" si="17"/>
        <v>2650</v>
      </c>
      <c r="H163" s="197"/>
      <c r="I163" s="39"/>
      <c r="J163" s="40"/>
      <c r="K163" s="40">
        <f t="shared" si="16"/>
        <v>0</v>
      </c>
      <c r="M163" s="39">
        <v>1</v>
      </c>
      <c r="N163" s="40">
        <v>2650</v>
      </c>
      <c r="O163" s="40">
        <f t="shared" si="12"/>
        <v>2650</v>
      </c>
      <c r="Q163" s="39"/>
      <c r="R163" s="40"/>
      <c r="S163" s="40">
        <f t="shared" si="13"/>
        <v>0</v>
      </c>
      <c r="U163" s="39"/>
      <c r="V163" s="40"/>
      <c r="W163" s="40">
        <f t="shared" si="14"/>
        <v>0</v>
      </c>
      <c r="Y163" s="39"/>
      <c r="Z163" s="40"/>
      <c r="AA163" s="40">
        <f t="shared" si="15"/>
        <v>0</v>
      </c>
    </row>
    <row r="164" spans="1:27">
      <c r="A164" s="345"/>
      <c r="B164" s="346"/>
      <c r="C164" s="192" t="s">
        <v>476</v>
      </c>
      <c r="D164" s="197" t="s">
        <v>6</v>
      </c>
      <c r="E164" s="39"/>
      <c r="F164" s="40"/>
      <c r="G164" s="40">
        <f t="shared" si="17"/>
        <v>1244</v>
      </c>
      <c r="H164" s="197"/>
      <c r="I164" s="39"/>
      <c r="J164" s="40"/>
      <c r="K164" s="40">
        <f t="shared" si="16"/>
        <v>0</v>
      </c>
      <c r="M164" s="39">
        <v>1</v>
      </c>
      <c r="N164" s="40">
        <v>1244</v>
      </c>
      <c r="O164" s="40">
        <f t="shared" si="12"/>
        <v>1244</v>
      </c>
      <c r="Q164" s="39"/>
      <c r="R164" s="40"/>
      <c r="S164" s="40">
        <f t="shared" si="13"/>
        <v>0</v>
      </c>
      <c r="U164" s="39"/>
      <c r="V164" s="40"/>
      <c r="W164" s="40">
        <f t="shared" si="14"/>
        <v>0</v>
      </c>
      <c r="Y164" s="39"/>
      <c r="Z164" s="40"/>
      <c r="AA164" s="40">
        <f t="shared" si="15"/>
        <v>0</v>
      </c>
    </row>
    <row r="165" spans="1:27">
      <c r="A165" s="345"/>
      <c r="B165" s="346"/>
      <c r="C165" s="192"/>
      <c r="D165" s="197"/>
      <c r="E165" s="39"/>
      <c r="F165" s="40"/>
      <c r="G165" s="40">
        <f t="shared" si="17"/>
        <v>0</v>
      </c>
      <c r="H165" s="197"/>
      <c r="I165" s="39"/>
      <c r="J165" s="40"/>
      <c r="K165" s="40">
        <f t="shared" si="16"/>
        <v>0</v>
      </c>
      <c r="M165" s="39"/>
      <c r="N165" s="40"/>
      <c r="O165" s="40">
        <f t="shared" si="12"/>
        <v>0</v>
      </c>
      <c r="Q165" s="39"/>
      <c r="R165" s="40"/>
      <c r="S165" s="40">
        <f t="shared" si="13"/>
        <v>0</v>
      </c>
      <c r="U165" s="39"/>
      <c r="V165" s="40"/>
      <c r="W165" s="40">
        <f t="shared" si="14"/>
        <v>0</v>
      </c>
      <c r="Y165" s="39"/>
      <c r="Z165" s="40"/>
      <c r="AA165" s="40">
        <f t="shared" si="15"/>
        <v>0</v>
      </c>
    </row>
    <row r="166" spans="1:27">
      <c r="A166" s="345"/>
      <c r="B166" s="346" t="s">
        <v>1003</v>
      </c>
      <c r="C166" s="328" t="s">
        <v>1004</v>
      </c>
      <c r="D166" s="197"/>
      <c r="E166" s="39"/>
      <c r="F166" s="40"/>
      <c r="G166" s="40">
        <f t="shared" si="17"/>
        <v>0</v>
      </c>
      <c r="H166" s="197"/>
      <c r="I166" s="39"/>
      <c r="J166" s="40"/>
      <c r="K166" s="40">
        <f t="shared" si="16"/>
        <v>0</v>
      </c>
      <c r="M166" s="39"/>
      <c r="N166" s="40"/>
      <c r="O166" s="40">
        <f t="shared" si="12"/>
        <v>0</v>
      </c>
      <c r="Q166" s="39"/>
      <c r="R166" s="40"/>
      <c r="S166" s="40">
        <f t="shared" si="13"/>
        <v>0</v>
      </c>
      <c r="U166" s="39"/>
      <c r="V166" s="40"/>
      <c r="W166" s="40">
        <f t="shared" si="14"/>
        <v>0</v>
      </c>
      <c r="Y166" s="39"/>
      <c r="Z166" s="40"/>
      <c r="AA166" s="40">
        <f t="shared" si="15"/>
        <v>0</v>
      </c>
    </row>
    <row r="167" spans="1:27">
      <c r="A167" s="345"/>
      <c r="B167" s="346"/>
      <c r="C167" s="192" t="s">
        <v>477</v>
      </c>
      <c r="D167" s="197" t="s">
        <v>6</v>
      </c>
      <c r="E167" s="39"/>
      <c r="F167" s="40"/>
      <c r="G167" s="40">
        <f t="shared" si="17"/>
        <v>694</v>
      </c>
      <c r="H167" s="197"/>
      <c r="I167" s="39"/>
      <c r="J167" s="40"/>
      <c r="K167" s="40">
        <f t="shared" si="16"/>
        <v>0</v>
      </c>
      <c r="M167" s="39">
        <v>1</v>
      </c>
      <c r="N167" s="40">
        <v>694</v>
      </c>
      <c r="O167" s="40">
        <f t="shared" si="12"/>
        <v>694</v>
      </c>
      <c r="Q167" s="39"/>
      <c r="R167" s="40"/>
      <c r="S167" s="40">
        <f t="shared" si="13"/>
        <v>0</v>
      </c>
      <c r="U167" s="39"/>
      <c r="V167" s="40"/>
      <c r="W167" s="40">
        <f t="shared" si="14"/>
        <v>0</v>
      </c>
      <c r="Y167" s="39"/>
      <c r="Z167" s="40"/>
      <c r="AA167" s="40">
        <f t="shared" si="15"/>
        <v>0</v>
      </c>
    </row>
    <row r="168" spans="1:27">
      <c r="A168" s="345"/>
      <c r="B168" s="346"/>
      <c r="C168" s="192" t="s">
        <v>478</v>
      </c>
      <c r="D168" s="197" t="s">
        <v>398</v>
      </c>
      <c r="E168" s="39"/>
      <c r="F168" s="40"/>
      <c r="G168" s="40">
        <f t="shared" si="17"/>
        <v>892</v>
      </c>
      <c r="H168" s="197"/>
      <c r="I168" s="39"/>
      <c r="J168" s="40"/>
      <c r="K168" s="40">
        <f t="shared" si="16"/>
        <v>0</v>
      </c>
      <c r="M168" s="39">
        <v>1</v>
      </c>
      <c r="N168" s="40">
        <v>892</v>
      </c>
      <c r="O168" s="40">
        <f t="shared" si="12"/>
        <v>892</v>
      </c>
      <c r="Q168" s="39"/>
      <c r="R168" s="40"/>
      <c r="S168" s="40">
        <f t="shared" si="13"/>
        <v>0</v>
      </c>
      <c r="U168" s="39"/>
      <c r="V168" s="40"/>
      <c r="W168" s="40">
        <f t="shared" si="14"/>
        <v>0</v>
      </c>
      <c r="Y168" s="39"/>
      <c r="Z168" s="40"/>
      <c r="AA168" s="40">
        <f t="shared" si="15"/>
        <v>0</v>
      </c>
    </row>
    <row r="169" spans="1:27">
      <c r="A169" s="345"/>
      <c r="B169" s="346"/>
      <c r="C169" s="192" t="s">
        <v>479</v>
      </c>
      <c r="D169" s="197" t="s">
        <v>6</v>
      </c>
      <c r="E169" s="39"/>
      <c r="F169" s="40"/>
      <c r="G169" s="40">
        <f t="shared" si="17"/>
        <v>0</v>
      </c>
      <c r="H169" s="197"/>
      <c r="I169" s="39"/>
      <c r="J169" s="40"/>
      <c r="K169" s="40">
        <f t="shared" si="16"/>
        <v>0</v>
      </c>
      <c r="M169" s="39"/>
      <c r="N169" s="40"/>
      <c r="O169" s="40">
        <f t="shared" si="12"/>
        <v>0</v>
      </c>
      <c r="Q169" s="39"/>
      <c r="R169" s="40"/>
      <c r="S169" s="40">
        <f t="shared" si="13"/>
        <v>0</v>
      </c>
      <c r="U169" s="39"/>
      <c r="V169" s="40"/>
      <c r="W169" s="40">
        <f t="shared" si="14"/>
        <v>0</v>
      </c>
      <c r="Y169" s="39"/>
      <c r="Z169" s="40"/>
      <c r="AA169" s="40">
        <f t="shared" si="15"/>
        <v>0</v>
      </c>
    </row>
    <row r="170" spans="1:27">
      <c r="A170" s="345"/>
      <c r="B170" s="346"/>
      <c r="C170" s="192" t="s">
        <v>468</v>
      </c>
      <c r="D170" s="197" t="s">
        <v>398</v>
      </c>
      <c r="E170" s="39"/>
      <c r="F170" s="40"/>
      <c r="G170" s="40">
        <f t="shared" si="17"/>
        <v>3148</v>
      </c>
      <c r="H170" s="197"/>
      <c r="I170" s="39"/>
      <c r="J170" s="40"/>
      <c r="K170" s="40">
        <f t="shared" si="16"/>
        <v>0</v>
      </c>
      <c r="M170" s="39">
        <v>1</v>
      </c>
      <c r="N170" s="40">
        <v>3148</v>
      </c>
      <c r="O170" s="40">
        <f t="shared" si="12"/>
        <v>3148</v>
      </c>
      <c r="Q170" s="39"/>
      <c r="R170" s="40"/>
      <c r="S170" s="40">
        <f t="shared" si="13"/>
        <v>0</v>
      </c>
      <c r="U170" s="39"/>
      <c r="V170" s="40"/>
      <c r="W170" s="40">
        <f t="shared" si="14"/>
        <v>0</v>
      </c>
      <c r="Y170" s="39"/>
      <c r="Z170" s="40"/>
      <c r="AA170" s="40">
        <f t="shared" si="15"/>
        <v>0</v>
      </c>
    </row>
    <row r="171" spans="1:27">
      <c r="A171" s="345"/>
      <c r="B171" s="346"/>
      <c r="C171" s="192" t="s">
        <v>469</v>
      </c>
      <c r="D171" s="197" t="s">
        <v>11</v>
      </c>
      <c r="E171" s="39"/>
      <c r="F171" s="40"/>
      <c r="G171" s="40">
        <f t="shared" si="17"/>
        <v>4212</v>
      </c>
      <c r="H171" s="197"/>
      <c r="I171" s="39"/>
      <c r="J171" s="40"/>
      <c r="K171" s="40">
        <f t="shared" si="16"/>
        <v>0</v>
      </c>
      <c r="M171" s="39">
        <v>27</v>
      </c>
      <c r="N171" s="40">
        <v>156</v>
      </c>
      <c r="O171" s="40">
        <f t="shared" si="12"/>
        <v>4212</v>
      </c>
      <c r="Q171" s="39"/>
      <c r="R171" s="40"/>
      <c r="S171" s="40">
        <f t="shared" si="13"/>
        <v>0</v>
      </c>
      <c r="U171" s="39"/>
      <c r="V171" s="40"/>
      <c r="W171" s="40">
        <f t="shared" si="14"/>
        <v>0</v>
      </c>
      <c r="Y171" s="39"/>
      <c r="Z171" s="40"/>
      <c r="AA171" s="40">
        <f t="shared" si="15"/>
        <v>0</v>
      </c>
    </row>
    <row r="172" spans="1:27">
      <c r="A172" s="345"/>
      <c r="B172" s="346"/>
      <c r="C172" s="192" t="s">
        <v>470</v>
      </c>
      <c r="D172" s="197" t="s">
        <v>398</v>
      </c>
      <c r="E172" s="39"/>
      <c r="F172" s="40"/>
      <c r="G172" s="40">
        <f t="shared" si="17"/>
        <v>812</v>
      </c>
      <c r="H172" s="197"/>
      <c r="I172" s="39"/>
      <c r="J172" s="40"/>
      <c r="K172" s="40">
        <f t="shared" si="16"/>
        <v>0</v>
      </c>
      <c r="M172" s="39">
        <v>1</v>
      </c>
      <c r="N172" s="40">
        <v>812</v>
      </c>
      <c r="O172" s="40">
        <f t="shared" si="12"/>
        <v>812</v>
      </c>
      <c r="Q172" s="39"/>
      <c r="R172" s="40"/>
      <c r="S172" s="40">
        <f t="shared" si="13"/>
        <v>0</v>
      </c>
      <c r="U172" s="39"/>
      <c r="V172" s="40"/>
      <c r="W172" s="40">
        <f t="shared" si="14"/>
        <v>0</v>
      </c>
      <c r="Y172" s="39"/>
      <c r="Z172" s="40"/>
      <c r="AA172" s="40">
        <f t="shared" si="15"/>
        <v>0</v>
      </c>
    </row>
    <row r="173" spans="1:27">
      <c r="A173" s="345"/>
      <c r="B173" s="346"/>
      <c r="C173" s="192"/>
      <c r="D173" s="197"/>
      <c r="E173" s="39"/>
      <c r="F173" s="40"/>
      <c r="G173" s="40">
        <f t="shared" si="17"/>
        <v>0</v>
      </c>
      <c r="H173" s="197"/>
      <c r="I173" s="39"/>
      <c r="J173" s="40"/>
      <c r="K173" s="40">
        <f t="shared" si="16"/>
        <v>0</v>
      </c>
      <c r="M173" s="39"/>
      <c r="N173" s="40"/>
      <c r="O173" s="40">
        <f t="shared" si="12"/>
        <v>0</v>
      </c>
      <c r="Q173" s="39"/>
      <c r="R173" s="40"/>
      <c r="S173" s="40">
        <f t="shared" si="13"/>
        <v>0</v>
      </c>
      <c r="U173" s="39"/>
      <c r="V173" s="40"/>
      <c r="W173" s="40">
        <f t="shared" si="14"/>
        <v>0</v>
      </c>
      <c r="Y173" s="39"/>
      <c r="Z173" s="40"/>
      <c r="AA173" s="40">
        <f t="shared" si="15"/>
        <v>0</v>
      </c>
    </row>
    <row r="174" spans="1:27">
      <c r="A174" s="345"/>
      <c r="B174" s="346" t="s">
        <v>1005</v>
      </c>
      <c r="C174" s="328" t="s">
        <v>1006</v>
      </c>
      <c r="D174" s="197"/>
      <c r="E174" s="39"/>
      <c r="F174" s="40"/>
      <c r="G174" s="40">
        <f t="shared" si="17"/>
        <v>0</v>
      </c>
      <c r="H174" s="197"/>
      <c r="I174" s="39"/>
      <c r="J174" s="40"/>
      <c r="K174" s="40">
        <f t="shared" si="16"/>
        <v>0</v>
      </c>
      <c r="M174" s="39"/>
      <c r="N174" s="40"/>
      <c r="O174" s="40">
        <f t="shared" si="12"/>
        <v>0</v>
      </c>
      <c r="Q174" s="39"/>
      <c r="R174" s="40"/>
      <c r="S174" s="40">
        <f t="shared" si="13"/>
        <v>0</v>
      </c>
      <c r="U174" s="39"/>
      <c r="V174" s="40"/>
      <c r="W174" s="40">
        <f t="shared" si="14"/>
        <v>0</v>
      </c>
      <c r="Y174" s="39"/>
      <c r="Z174" s="40"/>
      <c r="AA174" s="40">
        <f t="shared" si="15"/>
        <v>0</v>
      </c>
    </row>
    <row r="175" spans="1:27">
      <c r="A175" s="345"/>
      <c r="B175" s="346"/>
      <c r="C175" s="192" t="s">
        <v>474</v>
      </c>
      <c r="D175" s="197" t="s">
        <v>398</v>
      </c>
      <c r="E175" s="39"/>
      <c r="F175" s="40"/>
      <c r="G175" s="40">
        <f t="shared" si="17"/>
        <v>2623</v>
      </c>
      <c r="H175" s="197"/>
      <c r="I175" s="39"/>
      <c r="J175" s="40"/>
      <c r="K175" s="40">
        <f t="shared" si="16"/>
        <v>0</v>
      </c>
      <c r="M175" s="39"/>
      <c r="N175" s="40"/>
      <c r="O175" s="40">
        <f t="shared" si="12"/>
        <v>0</v>
      </c>
      <c r="Q175" s="39"/>
      <c r="R175" s="40"/>
      <c r="S175" s="40">
        <f t="shared" si="13"/>
        <v>0</v>
      </c>
      <c r="U175" s="39">
        <v>1</v>
      </c>
      <c r="V175" s="40">
        <v>2623</v>
      </c>
      <c r="W175" s="40">
        <f t="shared" si="14"/>
        <v>2623</v>
      </c>
      <c r="Y175" s="39"/>
      <c r="Z175" s="40"/>
      <c r="AA175" s="40">
        <f t="shared" si="15"/>
        <v>0</v>
      </c>
    </row>
    <row r="176" spans="1:27">
      <c r="A176" s="345"/>
      <c r="B176" s="346"/>
      <c r="C176" s="192" t="s">
        <v>469</v>
      </c>
      <c r="D176" s="197" t="s">
        <v>11</v>
      </c>
      <c r="E176" s="39"/>
      <c r="F176" s="40"/>
      <c r="G176" s="40">
        <f t="shared" si="17"/>
        <v>11247.599999999999</v>
      </c>
      <c r="H176" s="197"/>
      <c r="I176" s="39"/>
      <c r="J176" s="40"/>
      <c r="K176" s="40">
        <f t="shared" si="16"/>
        <v>0</v>
      </c>
      <c r="M176" s="39"/>
      <c r="N176" s="40"/>
      <c r="O176" s="40">
        <f t="shared" si="12"/>
        <v>0</v>
      </c>
      <c r="Q176" s="39"/>
      <c r="R176" s="40"/>
      <c r="S176" s="40">
        <f t="shared" si="13"/>
        <v>0</v>
      </c>
      <c r="U176" s="39">
        <v>72.099999999999994</v>
      </c>
      <c r="V176" s="40">
        <v>156</v>
      </c>
      <c r="W176" s="40">
        <f t="shared" si="14"/>
        <v>11247.599999999999</v>
      </c>
      <c r="Y176" s="39"/>
      <c r="Z176" s="40"/>
      <c r="AA176" s="40">
        <f t="shared" si="15"/>
        <v>0</v>
      </c>
    </row>
    <row r="177" spans="1:27">
      <c r="A177" s="345"/>
      <c r="B177" s="346"/>
      <c r="C177" s="192" t="s">
        <v>470</v>
      </c>
      <c r="D177" s="197" t="s">
        <v>398</v>
      </c>
      <c r="E177" s="39"/>
      <c r="F177" s="40"/>
      <c r="G177" s="40">
        <f t="shared" si="17"/>
        <v>0</v>
      </c>
      <c r="H177" s="197"/>
      <c r="I177" s="39"/>
      <c r="J177" s="40"/>
      <c r="K177" s="40">
        <f t="shared" si="16"/>
        <v>0</v>
      </c>
      <c r="M177" s="39"/>
      <c r="N177" s="40"/>
      <c r="O177" s="40">
        <f t="shared" si="12"/>
        <v>0</v>
      </c>
      <c r="Q177" s="39"/>
      <c r="R177" s="40"/>
      <c r="S177" s="40">
        <f t="shared" si="13"/>
        <v>0</v>
      </c>
      <c r="U177" s="39"/>
      <c r="V177" s="40"/>
      <c r="W177" s="40">
        <f t="shared" si="14"/>
        <v>0</v>
      </c>
      <c r="Y177" s="39"/>
      <c r="Z177" s="40"/>
      <c r="AA177" s="40">
        <f t="shared" si="15"/>
        <v>0</v>
      </c>
    </row>
    <row r="178" spans="1:27">
      <c r="A178" s="345"/>
      <c r="B178" s="346"/>
      <c r="C178" s="192" t="s">
        <v>475</v>
      </c>
      <c r="D178" s="197" t="s">
        <v>398</v>
      </c>
      <c r="E178" s="39"/>
      <c r="F178" s="40"/>
      <c r="G178" s="40">
        <f t="shared" si="17"/>
        <v>1090</v>
      </c>
      <c r="H178" s="197"/>
      <c r="I178" s="39"/>
      <c r="J178" s="40"/>
      <c r="K178" s="40">
        <f t="shared" si="16"/>
        <v>0</v>
      </c>
      <c r="M178" s="39"/>
      <c r="N178" s="40"/>
      <c r="O178" s="40">
        <f t="shared" si="12"/>
        <v>0</v>
      </c>
      <c r="Q178" s="39"/>
      <c r="R178" s="40"/>
      <c r="S178" s="40">
        <f t="shared" si="13"/>
        <v>0</v>
      </c>
      <c r="U178" s="39">
        <v>1</v>
      </c>
      <c r="V178" s="40">
        <v>1090</v>
      </c>
      <c r="W178" s="40">
        <f t="shared" si="14"/>
        <v>1090</v>
      </c>
      <c r="Y178" s="39"/>
      <c r="Z178" s="40"/>
      <c r="AA178" s="40">
        <f t="shared" si="15"/>
        <v>0</v>
      </c>
    </row>
    <row r="179" spans="1:27">
      <c r="A179" s="345"/>
      <c r="B179" s="346"/>
      <c r="C179" s="192"/>
      <c r="D179" s="197"/>
      <c r="E179" s="39"/>
      <c r="F179" s="40"/>
      <c r="G179" s="40">
        <f t="shared" si="17"/>
        <v>0</v>
      </c>
      <c r="H179" s="197"/>
      <c r="I179" s="39"/>
      <c r="J179" s="40"/>
      <c r="K179" s="40">
        <f t="shared" si="16"/>
        <v>0</v>
      </c>
      <c r="M179" s="39"/>
      <c r="N179" s="40"/>
      <c r="O179" s="40">
        <f t="shared" si="12"/>
        <v>0</v>
      </c>
      <c r="Q179" s="39"/>
      <c r="R179" s="40"/>
      <c r="S179" s="40">
        <f t="shared" si="13"/>
        <v>0</v>
      </c>
      <c r="U179" s="39"/>
      <c r="V179" s="40"/>
      <c r="W179" s="40">
        <f t="shared" si="14"/>
        <v>0</v>
      </c>
      <c r="Y179" s="39"/>
      <c r="Z179" s="40"/>
      <c r="AA179" s="40">
        <f t="shared" si="15"/>
        <v>0</v>
      </c>
    </row>
    <row r="180" spans="1:27" ht="27.6">
      <c r="A180" s="345"/>
      <c r="B180" s="346" t="s">
        <v>1007</v>
      </c>
      <c r="C180" s="328" t="s">
        <v>480</v>
      </c>
      <c r="D180" s="197"/>
      <c r="E180" s="39"/>
      <c r="F180" s="40"/>
      <c r="G180" s="40">
        <f t="shared" si="17"/>
        <v>0</v>
      </c>
      <c r="H180" s="197"/>
      <c r="I180" s="39"/>
      <c r="J180" s="40"/>
      <c r="K180" s="40">
        <f t="shared" si="16"/>
        <v>0</v>
      </c>
      <c r="M180" s="39"/>
      <c r="N180" s="40"/>
      <c r="O180" s="40">
        <f t="shared" si="12"/>
        <v>0</v>
      </c>
      <c r="Q180" s="39"/>
      <c r="R180" s="40"/>
      <c r="S180" s="40">
        <f t="shared" si="13"/>
        <v>0</v>
      </c>
      <c r="U180" s="39"/>
      <c r="V180" s="40"/>
      <c r="W180" s="40">
        <f t="shared" si="14"/>
        <v>0</v>
      </c>
      <c r="Y180" s="39"/>
      <c r="Z180" s="40"/>
      <c r="AA180" s="40">
        <f t="shared" si="15"/>
        <v>0</v>
      </c>
    </row>
    <row r="181" spans="1:27">
      <c r="A181" s="345"/>
      <c r="B181" s="346"/>
      <c r="C181" s="192" t="s">
        <v>481</v>
      </c>
      <c r="D181" s="197" t="s">
        <v>6</v>
      </c>
      <c r="E181" s="39"/>
      <c r="F181" s="40"/>
      <c r="G181" s="40">
        <f t="shared" si="17"/>
        <v>739</v>
      </c>
      <c r="H181" s="197"/>
      <c r="I181" s="39"/>
      <c r="J181" s="40"/>
      <c r="K181" s="40">
        <f t="shared" si="16"/>
        <v>0</v>
      </c>
      <c r="M181" s="39">
        <v>1</v>
      </c>
      <c r="N181" s="40">
        <v>739</v>
      </c>
      <c r="O181" s="40">
        <f t="shared" si="12"/>
        <v>739</v>
      </c>
      <c r="Q181" s="39"/>
      <c r="R181" s="40"/>
      <c r="S181" s="40">
        <f t="shared" si="13"/>
        <v>0</v>
      </c>
      <c r="U181" s="39"/>
      <c r="V181" s="40"/>
      <c r="W181" s="40">
        <f t="shared" si="14"/>
        <v>0</v>
      </c>
      <c r="Y181" s="39"/>
      <c r="Z181" s="40"/>
      <c r="AA181" s="40">
        <f t="shared" si="15"/>
        <v>0</v>
      </c>
    </row>
    <row r="182" spans="1:27">
      <c r="A182" s="345"/>
      <c r="B182" s="346"/>
      <c r="C182" s="192" t="s">
        <v>482</v>
      </c>
      <c r="D182" s="197" t="s">
        <v>6</v>
      </c>
      <c r="E182" s="39"/>
      <c r="F182" s="40"/>
      <c r="G182" s="40">
        <f t="shared" si="17"/>
        <v>371</v>
      </c>
      <c r="H182" s="197"/>
      <c r="I182" s="39"/>
      <c r="J182" s="40"/>
      <c r="K182" s="40">
        <f t="shared" si="16"/>
        <v>0</v>
      </c>
      <c r="M182" s="39">
        <v>1</v>
      </c>
      <c r="N182" s="40">
        <v>371</v>
      </c>
      <c r="O182" s="40">
        <f t="shared" si="12"/>
        <v>371</v>
      </c>
      <c r="Q182" s="39"/>
      <c r="R182" s="40"/>
      <c r="S182" s="40">
        <f t="shared" si="13"/>
        <v>0</v>
      </c>
      <c r="U182" s="39"/>
      <c r="V182" s="40"/>
      <c r="W182" s="40">
        <f t="shared" si="14"/>
        <v>0</v>
      </c>
      <c r="Y182" s="39"/>
      <c r="Z182" s="40"/>
      <c r="AA182" s="40">
        <f t="shared" si="15"/>
        <v>0</v>
      </c>
    </row>
    <row r="183" spans="1:27">
      <c r="A183" s="345"/>
      <c r="B183" s="346"/>
      <c r="C183" s="192"/>
      <c r="D183" s="197"/>
      <c r="E183" s="39"/>
      <c r="F183" s="40"/>
      <c r="G183" s="40">
        <f t="shared" si="17"/>
        <v>0</v>
      </c>
      <c r="H183" s="197"/>
      <c r="I183" s="39"/>
      <c r="J183" s="40"/>
      <c r="K183" s="40">
        <f t="shared" si="16"/>
        <v>0</v>
      </c>
      <c r="M183" s="39"/>
      <c r="N183" s="40"/>
      <c r="O183" s="40">
        <f t="shared" si="12"/>
        <v>0</v>
      </c>
      <c r="Q183" s="39"/>
      <c r="R183" s="40"/>
      <c r="S183" s="40">
        <f t="shared" si="13"/>
        <v>0</v>
      </c>
      <c r="U183" s="39"/>
      <c r="V183" s="40"/>
      <c r="W183" s="40">
        <f t="shared" si="14"/>
        <v>0</v>
      </c>
      <c r="Y183" s="39"/>
      <c r="Z183" s="40"/>
      <c r="AA183" s="40">
        <f t="shared" si="15"/>
        <v>0</v>
      </c>
    </row>
    <row r="184" spans="1:27" s="56" customFormat="1">
      <c r="A184" s="345"/>
      <c r="B184" s="346" t="s">
        <v>84</v>
      </c>
      <c r="C184" s="328" t="s">
        <v>693</v>
      </c>
      <c r="D184" s="329"/>
      <c r="E184" s="39"/>
      <c r="F184" s="332"/>
      <c r="G184" s="40">
        <f t="shared" si="17"/>
        <v>0</v>
      </c>
      <c r="H184" s="329"/>
      <c r="I184" s="330"/>
      <c r="J184" s="332"/>
      <c r="K184" s="40">
        <f t="shared" si="16"/>
        <v>0</v>
      </c>
      <c r="M184" s="330"/>
      <c r="N184" s="332"/>
      <c r="O184" s="40">
        <f t="shared" si="12"/>
        <v>0</v>
      </c>
      <c r="Q184" s="330"/>
      <c r="R184" s="332"/>
      <c r="S184" s="40">
        <f t="shared" si="13"/>
        <v>0</v>
      </c>
      <c r="U184" s="330"/>
      <c r="V184" s="332"/>
      <c r="W184" s="40">
        <f t="shared" si="14"/>
        <v>0</v>
      </c>
      <c r="Y184" s="330"/>
      <c r="Z184" s="332"/>
      <c r="AA184" s="40">
        <f t="shared" si="15"/>
        <v>0</v>
      </c>
    </row>
    <row r="185" spans="1:27">
      <c r="A185" s="345"/>
      <c r="B185" s="346"/>
      <c r="C185" s="192" t="s">
        <v>694</v>
      </c>
      <c r="D185" s="197" t="s">
        <v>6</v>
      </c>
      <c r="E185" s="39"/>
      <c r="F185" s="40"/>
      <c r="G185" s="40">
        <f t="shared" si="17"/>
        <v>622</v>
      </c>
      <c r="H185" s="197"/>
      <c r="I185" s="39"/>
      <c r="J185" s="40"/>
      <c r="K185" s="40">
        <f t="shared" si="16"/>
        <v>0</v>
      </c>
      <c r="M185" s="39">
        <v>1</v>
      </c>
      <c r="N185" s="40">
        <v>311</v>
      </c>
      <c r="O185" s="40">
        <f t="shared" ref="O185" si="18">M185*N185</f>
        <v>311</v>
      </c>
      <c r="Q185" s="39"/>
      <c r="R185" s="40"/>
      <c r="S185" s="40">
        <f t="shared" si="13"/>
        <v>0</v>
      </c>
      <c r="U185" s="39">
        <v>1</v>
      </c>
      <c r="V185" s="40">
        <v>311</v>
      </c>
      <c r="W185" s="40">
        <f t="shared" si="14"/>
        <v>311</v>
      </c>
      <c r="Y185" s="39"/>
      <c r="Z185" s="40"/>
      <c r="AA185" s="40">
        <f t="shared" si="15"/>
        <v>0</v>
      </c>
    </row>
    <row r="186" spans="1:27">
      <c r="A186" s="35"/>
      <c r="B186" s="27"/>
      <c r="C186" s="192"/>
      <c r="D186" s="197"/>
      <c r="E186" s="39"/>
      <c r="F186" s="40"/>
      <c r="G186" s="40"/>
      <c r="H186" s="197"/>
      <c r="I186" s="39"/>
      <c r="J186" s="40"/>
      <c r="K186" s="40"/>
      <c r="M186" s="39"/>
      <c r="N186" s="40"/>
      <c r="O186" s="40"/>
      <c r="Q186" s="39"/>
      <c r="R186" s="40"/>
      <c r="S186" s="40">
        <f t="shared" si="13"/>
        <v>0</v>
      </c>
      <c r="U186" s="39"/>
      <c r="V186" s="40"/>
      <c r="W186" s="40">
        <f t="shared" si="14"/>
        <v>0</v>
      </c>
      <c r="Y186" s="39"/>
      <c r="Z186" s="40"/>
      <c r="AA186" s="40">
        <f t="shared" si="15"/>
        <v>0</v>
      </c>
    </row>
    <row r="187" spans="1:27">
      <c r="A187" s="35"/>
      <c r="B187" s="27"/>
      <c r="C187" s="192"/>
      <c r="D187" s="197"/>
      <c r="E187" s="39"/>
      <c r="F187" s="40"/>
      <c r="G187" s="40"/>
      <c r="H187" s="197"/>
      <c r="I187" s="39"/>
      <c r="J187" s="40"/>
      <c r="K187" s="40"/>
      <c r="M187" s="39"/>
      <c r="N187" s="40"/>
      <c r="O187" s="40"/>
      <c r="Q187" s="39"/>
      <c r="R187" s="40"/>
      <c r="S187" s="40">
        <f t="shared" si="13"/>
        <v>0</v>
      </c>
      <c r="U187" s="39"/>
      <c r="V187" s="40"/>
      <c r="W187" s="40">
        <f t="shared" si="14"/>
        <v>0</v>
      </c>
      <c r="Y187" s="39"/>
      <c r="Z187" s="40"/>
      <c r="AA187" s="40">
        <f t="shared" si="15"/>
        <v>0</v>
      </c>
    </row>
    <row r="188" spans="1:27">
      <c r="A188" s="345"/>
      <c r="B188" s="346"/>
      <c r="C188" s="328" t="s">
        <v>1008</v>
      </c>
      <c r="D188" s="197"/>
      <c r="E188" s="39"/>
      <c r="F188" s="40"/>
      <c r="G188" s="40">
        <f t="shared" ref="G188:G189" si="19">K188+O188+S188+W188+AA188</f>
        <v>0</v>
      </c>
      <c r="H188" s="197"/>
      <c r="I188" s="39"/>
      <c r="J188" s="40"/>
      <c r="K188" s="40">
        <f t="shared" ref="K188:K196" si="20">I188*J188</f>
        <v>0</v>
      </c>
      <c r="M188" s="39"/>
      <c r="N188" s="40"/>
      <c r="O188" s="40">
        <f t="shared" ref="O188:O196" si="21">M188*N188</f>
        <v>0</v>
      </c>
      <c r="Q188" s="39"/>
      <c r="R188" s="40"/>
      <c r="S188" s="40">
        <f t="shared" si="13"/>
        <v>0</v>
      </c>
      <c r="U188" s="39"/>
      <c r="V188" s="40"/>
      <c r="W188" s="40">
        <f t="shared" si="14"/>
        <v>0</v>
      </c>
      <c r="Y188" s="39"/>
      <c r="Z188" s="40"/>
      <c r="AA188" s="40">
        <f t="shared" si="15"/>
        <v>0</v>
      </c>
    </row>
    <row r="189" spans="1:27" ht="7.8" customHeight="1">
      <c r="A189" s="345"/>
      <c r="B189" s="346"/>
      <c r="C189" s="192"/>
      <c r="D189" s="197"/>
      <c r="E189" s="39"/>
      <c r="F189" s="40"/>
      <c r="G189" s="40">
        <f t="shared" si="19"/>
        <v>0</v>
      </c>
      <c r="H189" s="197"/>
      <c r="I189" s="39"/>
      <c r="J189" s="40"/>
      <c r="K189" s="40">
        <f t="shared" si="20"/>
        <v>0</v>
      </c>
      <c r="M189" s="39"/>
      <c r="N189" s="40"/>
      <c r="O189" s="40">
        <f t="shared" si="21"/>
        <v>0</v>
      </c>
      <c r="Q189" s="39"/>
      <c r="R189" s="40"/>
      <c r="S189" s="40">
        <f t="shared" si="13"/>
        <v>0</v>
      </c>
      <c r="U189" s="39"/>
      <c r="V189" s="40"/>
      <c r="W189" s="40">
        <f t="shared" si="14"/>
        <v>0</v>
      </c>
      <c r="Y189" s="39"/>
      <c r="Z189" s="40"/>
      <c r="AA189" s="40">
        <f t="shared" si="15"/>
        <v>0</v>
      </c>
    </row>
    <row r="190" spans="1:27" ht="41.4">
      <c r="A190" s="345"/>
      <c r="B190" s="346"/>
      <c r="C190" s="192" t="s">
        <v>1011</v>
      </c>
      <c r="D190" s="197" t="s">
        <v>6</v>
      </c>
      <c r="E190" s="39">
        <v>1</v>
      </c>
      <c r="F190" s="40">
        <v>-14904</v>
      </c>
      <c r="G190" s="40">
        <f>F190*E190</f>
        <v>-14904</v>
      </c>
      <c r="H190" s="197"/>
      <c r="I190" s="441">
        <v>0.12</v>
      </c>
      <c r="J190" s="40">
        <f>G190</f>
        <v>-14904</v>
      </c>
      <c r="K190" s="40">
        <f t="shared" si="20"/>
        <v>-1788.48</v>
      </c>
      <c r="M190" s="441">
        <v>0.23</v>
      </c>
      <c r="N190" s="40">
        <f>F190</f>
        <v>-14904</v>
      </c>
      <c r="O190" s="40">
        <f t="shared" si="21"/>
        <v>-3427.92</v>
      </c>
      <c r="Q190" s="441">
        <v>0.27</v>
      </c>
      <c r="R190" s="40">
        <f>F190</f>
        <v>-14904</v>
      </c>
      <c r="S190" s="40">
        <f t="shared" si="13"/>
        <v>-4024.0800000000004</v>
      </c>
      <c r="U190" s="441">
        <v>0.32</v>
      </c>
      <c r="V190" s="40">
        <f>F190</f>
        <v>-14904</v>
      </c>
      <c r="W190" s="40">
        <f t="shared" si="14"/>
        <v>-4769.28</v>
      </c>
      <c r="Y190" s="441">
        <v>0.06</v>
      </c>
      <c r="Z190" s="40">
        <f>F190</f>
        <v>-14904</v>
      </c>
      <c r="AA190" s="40">
        <f t="shared" si="15"/>
        <v>-894.24</v>
      </c>
    </row>
    <row r="191" spans="1:27" ht="7.8" customHeight="1">
      <c r="A191" s="345"/>
      <c r="B191" s="346"/>
      <c r="C191" s="192"/>
      <c r="D191" s="197"/>
      <c r="E191" s="39"/>
      <c r="F191" s="40"/>
      <c r="G191" s="40">
        <f t="shared" ref="G191" si="22">K191+O191+S191+W191+AA191</f>
        <v>0</v>
      </c>
      <c r="H191" s="197"/>
      <c r="I191" s="39"/>
      <c r="J191" s="40"/>
      <c r="K191" s="40">
        <f t="shared" ref="K191" si="23">I191*J191</f>
        <v>0</v>
      </c>
      <c r="M191" s="39"/>
      <c r="N191" s="40"/>
      <c r="O191" s="40">
        <f t="shared" ref="O191" si="24">M191*N191</f>
        <v>0</v>
      </c>
      <c r="Q191" s="39"/>
      <c r="R191" s="40"/>
      <c r="S191" s="40">
        <f t="shared" ref="S191" si="25">Q191*R191</f>
        <v>0</v>
      </c>
      <c r="U191" s="39"/>
      <c r="V191" s="40"/>
      <c r="W191" s="40">
        <f t="shared" ref="W191" si="26">U191*V191</f>
        <v>0</v>
      </c>
      <c r="Y191" s="39"/>
      <c r="Z191" s="40"/>
      <c r="AA191" s="40">
        <f t="shared" ref="AA191" si="27">Y191*Z191</f>
        <v>0</v>
      </c>
    </row>
    <row r="192" spans="1:27" ht="27.6">
      <c r="A192" s="345"/>
      <c r="B192" s="346"/>
      <c r="C192" s="192" t="s">
        <v>1009</v>
      </c>
      <c r="D192" s="197" t="s">
        <v>6</v>
      </c>
      <c r="E192" s="39">
        <v>1</v>
      </c>
      <c r="F192" s="40">
        <v>-3720</v>
      </c>
      <c r="G192" s="40">
        <f>F192*E192</f>
        <v>-3720</v>
      </c>
      <c r="H192" s="197"/>
      <c r="I192" s="441">
        <v>0.12</v>
      </c>
      <c r="J192" s="40">
        <f>G192</f>
        <v>-3720</v>
      </c>
      <c r="K192" s="40">
        <f t="shared" ref="K192:K193" si="28">I192*J192</f>
        <v>-446.4</v>
      </c>
      <c r="M192" s="441">
        <v>0.23</v>
      </c>
      <c r="N192" s="40">
        <f>G192</f>
        <v>-3720</v>
      </c>
      <c r="O192" s="40">
        <f t="shared" ref="O192:O193" si="29">M192*N192</f>
        <v>-855.6</v>
      </c>
      <c r="Q192" s="441">
        <v>0.27</v>
      </c>
      <c r="R192" s="40">
        <f>G192</f>
        <v>-3720</v>
      </c>
      <c r="S192" s="40">
        <f t="shared" si="13"/>
        <v>-1004.4000000000001</v>
      </c>
      <c r="U192" s="441">
        <v>0.32</v>
      </c>
      <c r="V192" s="40">
        <f>G192</f>
        <v>-3720</v>
      </c>
      <c r="W192" s="40">
        <f t="shared" si="14"/>
        <v>-1190.4000000000001</v>
      </c>
      <c r="Y192" s="441">
        <v>0.06</v>
      </c>
      <c r="Z192" s="40">
        <f>G192</f>
        <v>-3720</v>
      </c>
      <c r="AA192" s="40">
        <f t="shared" si="15"/>
        <v>-223.2</v>
      </c>
    </row>
    <row r="193" spans="1:27" ht="7.8" customHeight="1">
      <c r="A193" s="345"/>
      <c r="B193" s="346"/>
      <c r="C193" s="192"/>
      <c r="D193" s="197"/>
      <c r="E193" s="39"/>
      <c r="F193" s="40"/>
      <c r="G193" s="40">
        <f t="shared" ref="G193" si="30">K193+O193+S193+W193+AA193</f>
        <v>0</v>
      </c>
      <c r="H193" s="197"/>
      <c r="I193" s="39"/>
      <c r="J193" s="40"/>
      <c r="K193" s="40">
        <f t="shared" si="28"/>
        <v>0</v>
      </c>
      <c r="M193" s="39"/>
      <c r="N193" s="40"/>
      <c r="O193" s="40">
        <f t="shared" si="29"/>
        <v>0</v>
      </c>
      <c r="Q193" s="39"/>
      <c r="R193" s="40"/>
      <c r="S193" s="40">
        <f t="shared" ref="S193" si="31">Q193*R193</f>
        <v>0</v>
      </c>
      <c r="U193" s="39"/>
      <c r="V193" s="40"/>
      <c r="W193" s="40">
        <f t="shared" ref="W193" si="32">U193*V193</f>
        <v>0</v>
      </c>
      <c r="Y193" s="39"/>
      <c r="Z193" s="40"/>
      <c r="AA193" s="40">
        <f t="shared" ref="AA193" si="33">Y193*Z193</f>
        <v>0</v>
      </c>
    </row>
    <row r="194" spans="1:27" ht="27.6">
      <c r="A194" s="345"/>
      <c r="B194" s="346"/>
      <c r="C194" s="192" t="s">
        <v>1010</v>
      </c>
      <c r="D194" s="197" t="s">
        <v>6</v>
      </c>
      <c r="E194" s="39">
        <v>2</v>
      </c>
      <c r="F194" s="40">
        <v>-1133</v>
      </c>
      <c r="G194" s="40">
        <f>F194*E194</f>
        <v>-2266</v>
      </c>
      <c r="H194" s="197"/>
      <c r="I194" s="441">
        <v>0.12</v>
      </c>
      <c r="J194" s="40">
        <f>G194</f>
        <v>-2266</v>
      </c>
      <c r="K194" s="40">
        <f t="shared" ref="K194:K195" si="34">I194*J194</f>
        <v>-271.92</v>
      </c>
      <c r="M194" s="441">
        <v>0.23</v>
      </c>
      <c r="N194" s="40">
        <f>G194</f>
        <v>-2266</v>
      </c>
      <c r="O194" s="40">
        <f t="shared" ref="O194:O195" si="35">M194*N194</f>
        <v>-521.18000000000006</v>
      </c>
      <c r="Q194" s="441">
        <v>0.27</v>
      </c>
      <c r="R194" s="40">
        <f>G194</f>
        <v>-2266</v>
      </c>
      <c r="S194" s="40">
        <f t="shared" si="13"/>
        <v>-611.82000000000005</v>
      </c>
      <c r="U194" s="441">
        <v>0.32</v>
      </c>
      <c r="V194" s="40">
        <f>G194</f>
        <v>-2266</v>
      </c>
      <c r="W194" s="40">
        <f t="shared" si="14"/>
        <v>-725.12</v>
      </c>
      <c r="Y194" s="441">
        <v>0.06</v>
      </c>
      <c r="Z194" s="40">
        <f>G194</f>
        <v>-2266</v>
      </c>
      <c r="AA194" s="40">
        <f t="shared" si="15"/>
        <v>-135.96</v>
      </c>
    </row>
    <row r="195" spans="1:27" ht="7.8" customHeight="1">
      <c r="A195" s="345"/>
      <c r="B195" s="346"/>
      <c r="C195" s="192"/>
      <c r="D195" s="197"/>
      <c r="E195" s="39"/>
      <c r="F195" s="40"/>
      <c r="G195" s="40">
        <f t="shared" ref="G195" si="36">K195+O195+S195+W195+AA195</f>
        <v>0</v>
      </c>
      <c r="H195" s="197"/>
      <c r="I195" s="39"/>
      <c r="J195" s="40"/>
      <c r="K195" s="40">
        <f t="shared" si="34"/>
        <v>0</v>
      </c>
      <c r="M195" s="39"/>
      <c r="N195" s="40"/>
      <c r="O195" s="40">
        <f t="shared" si="35"/>
        <v>0</v>
      </c>
      <c r="Q195" s="39"/>
      <c r="R195" s="40"/>
      <c r="S195" s="40">
        <f t="shared" ref="S195" si="37">Q195*R195</f>
        <v>0</v>
      </c>
      <c r="U195" s="39"/>
      <c r="V195" s="40"/>
      <c r="W195" s="40">
        <f t="shared" ref="W195" si="38">U195*V195</f>
        <v>0</v>
      </c>
      <c r="Y195" s="39"/>
      <c r="Z195" s="40"/>
      <c r="AA195" s="40">
        <f t="shared" ref="AA195" si="39">Y195*Z195</f>
        <v>0</v>
      </c>
    </row>
    <row r="196" spans="1:27" s="56" customFormat="1">
      <c r="A196" s="345"/>
      <c r="B196" s="346"/>
      <c r="C196" s="442" t="s">
        <v>1050</v>
      </c>
      <c r="D196" s="443" t="s">
        <v>6</v>
      </c>
      <c r="E196" s="444">
        <v>1</v>
      </c>
      <c r="F196" s="427">
        <v>-352.43999999994412</v>
      </c>
      <c r="G196" s="428">
        <f>E196*F196</f>
        <v>-352.43999999994412</v>
      </c>
      <c r="H196" s="443"/>
      <c r="I196" s="445">
        <v>0.12</v>
      </c>
      <c r="J196" s="428">
        <f>G196</f>
        <v>-352.43999999994412</v>
      </c>
      <c r="K196" s="428">
        <f t="shared" si="20"/>
        <v>-42.292799999993292</v>
      </c>
      <c r="L196" s="365"/>
      <c r="M196" s="445">
        <v>0.23</v>
      </c>
      <c r="N196" s="428">
        <f>G196</f>
        <v>-352.43999999994412</v>
      </c>
      <c r="O196" s="428">
        <f t="shared" si="21"/>
        <v>-81.061199999987153</v>
      </c>
      <c r="P196" s="365"/>
      <c r="Q196" s="445">
        <v>0.27</v>
      </c>
      <c r="R196" s="428">
        <f>G196</f>
        <v>-352.43999999994412</v>
      </c>
      <c r="S196" s="428">
        <f t="shared" ref="S196" si="40">Q196*R196</f>
        <v>-95.158799999984922</v>
      </c>
      <c r="T196" s="365"/>
      <c r="U196" s="445">
        <v>0.32</v>
      </c>
      <c r="V196" s="428">
        <f>G196</f>
        <v>-352.43999999994412</v>
      </c>
      <c r="W196" s="428">
        <f t="shared" ref="W196" si="41">U196*V196</f>
        <v>-112.78079999998212</v>
      </c>
      <c r="X196" s="365"/>
      <c r="Y196" s="445">
        <v>0.06</v>
      </c>
      <c r="Z196" s="428">
        <f>G196</f>
        <v>-352.43999999994412</v>
      </c>
      <c r="AA196" s="428">
        <f t="shared" ref="AA196" si="42">Y196*Z196</f>
        <v>-21.146399999996646</v>
      </c>
    </row>
    <row r="197" spans="1:27">
      <c r="A197" s="345"/>
      <c r="B197" s="346"/>
      <c r="C197" s="192"/>
      <c r="D197" s="197"/>
      <c r="E197" s="39"/>
      <c r="F197" s="40"/>
      <c r="G197" s="40"/>
      <c r="H197" s="197"/>
      <c r="I197" s="39"/>
      <c r="J197" s="40"/>
      <c r="K197" s="40"/>
      <c r="M197" s="39"/>
      <c r="N197" s="40"/>
      <c r="O197" s="40"/>
      <c r="Q197" s="39"/>
      <c r="R197" s="40"/>
      <c r="S197" s="40"/>
      <c r="U197" s="39"/>
      <c r="V197" s="40"/>
      <c r="W197" s="40"/>
      <c r="Y197" s="39"/>
      <c r="Z197" s="40"/>
      <c r="AA197" s="40"/>
    </row>
    <row r="198" spans="1:27">
      <c r="A198" s="14"/>
      <c r="B198" s="31"/>
      <c r="C198" s="38"/>
      <c r="D198" s="67"/>
      <c r="E198" s="37"/>
      <c r="F198" s="30"/>
      <c r="G198" s="34"/>
      <c r="H198" s="69"/>
      <c r="I198" s="37"/>
      <c r="J198" s="30"/>
      <c r="K198" s="32"/>
      <c r="M198" s="37"/>
      <c r="N198" s="30"/>
      <c r="O198" s="34"/>
      <c r="Q198" s="37"/>
      <c r="R198" s="30"/>
      <c r="S198" s="34"/>
      <c r="U198" s="37"/>
      <c r="V198" s="30"/>
      <c r="W198" s="34"/>
      <c r="Y198" s="37"/>
      <c r="Z198" s="30"/>
      <c r="AA198" s="34"/>
    </row>
    <row r="199" spans="1:27">
      <c r="A199" s="70"/>
      <c r="B199" s="41"/>
      <c r="C199" s="42"/>
      <c r="D199" s="41"/>
      <c r="E199" s="41"/>
      <c r="F199" s="44"/>
      <c r="G199" s="44"/>
      <c r="H199" s="41"/>
      <c r="I199" s="43"/>
      <c r="J199" s="44"/>
      <c r="K199" s="44"/>
      <c r="L199" s="41"/>
      <c r="M199" s="43"/>
      <c r="N199" s="44"/>
      <c r="O199" s="44"/>
      <c r="P199" s="41"/>
      <c r="Q199" s="43"/>
      <c r="R199" s="44"/>
      <c r="S199" s="44"/>
      <c r="T199" s="41"/>
      <c r="U199" s="43"/>
      <c r="V199" s="44"/>
      <c r="W199" s="44"/>
      <c r="X199" s="41"/>
      <c r="Y199" s="43"/>
      <c r="Z199" s="44"/>
      <c r="AA199" s="44"/>
    </row>
    <row r="200" spans="1:27" s="56" customFormat="1">
      <c r="A200" s="71"/>
      <c r="B200" s="72"/>
      <c r="C200" s="53" t="s">
        <v>7</v>
      </c>
      <c r="D200" s="52"/>
      <c r="E200" s="52"/>
      <c r="F200" s="55"/>
      <c r="G200" s="426">
        <f>K200+O200+S200+W200+AA200</f>
        <v>576358.40000000002</v>
      </c>
      <c r="H200" s="52"/>
      <c r="I200" s="54"/>
      <c r="J200" s="55"/>
      <c r="K200" s="55">
        <f>SUM(K6:K198)</f>
        <v>60067.857199999999</v>
      </c>
      <c r="L200" s="52"/>
      <c r="M200" s="54"/>
      <c r="N200" s="55"/>
      <c r="O200" s="55">
        <f>SUM(O6:O198)</f>
        <v>183162.04879999999</v>
      </c>
      <c r="P200" s="52"/>
      <c r="Q200" s="54"/>
      <c r="R200" s="55"/>
      <c r="S200" s="55">
        <f>SUM(S6:S198)</f>
        <v>144508.11120000001</v>
      </c>
      <c r="T200" s="52"/>
      <c r="U200" s="54"/>
      <c r="V200" s="55"/>
      <c r="W200" s="55">
        <f>SUM(W6:W198)</f>
        <v>169368.43920000005</v>
      </c>
      <c r="X200" s="52"/>
      <c r="Y200" s="54"/>
      <c r="Z200" s="55"/>
      <c r="AA200" s="55">
        <f>SUM(AA6:AA198)</f>
        <v>19251.943600000002</v>
      </c>
    </row>
    <row r="201" spans="1:27" s="56" customFormat="1">
      <c r="A201" s="71"/>
      <c r="B201" s="72"/>
      <c r="C201" s="53" t="s">
        <v>8</v>
      </c>
      <c r="D201" s="52"/>
      <c r="E201" s="52"/>
      <c r="F201" s="55"/>
      <c r="G201" s="55">
        <f>G200*0.2</f>
        <v>115271.68000000001</v>
      </c>
      <c r="H201" s="52"/>
      <c r="I201" s="54"/>
      <c r="J201" s="55"/>
      <c r="K201" s="55">
        <f>K200*0.2</f>
        <v>12013.57144</v>
      </c>
      <c r="L201" s="52"/>
      <c r="M201" s="54"/>
      <c r="N201" s="55"/>
      <c r="O201" s="55">
        <f>O200*0.2</f>
        <v>36632.409760000002</v>
      </c>
      <c r="P201" s="52"/>
      <c r="Q201" s="54"/>
      <c r="R201" s="55"/>
      <c r="S201" s="55">
        <f>S200*0.2</f>
        <v>28901.622240000004</v>
      </c>
      <c r="T201" s="52"/>
      <c r="U201" s="54"/>
      <c r="V201" s="55"/>
      <c r="W201" s="55">
        <f>W200*0.2</f>
        <v>33873.687840000013</v>
      </c>
      <c r="X201" s="52"/>
      <c r="Y201" s="54"/>
      <c r="Z201" s="55"/>
      <c r="AA201" s="55">
        <f>AA200*0.2</f>
        <v>3850.3887200000008</v>
      </c>
    </row>
    <row r="202" spans="1:27" s="56" customFormat="1">
      <c r="A202" s="71"/>
      <c r="B202" s="72"/>
      <c r="C202" s="53" t="s">
        <v>9</v>
      </c>
      <c r="D202" s="52"/>
      <c r="E202" s="52"/>
      <c r="F202" s="55"/>
      <c r="G202" s="55">
        <f>G201+G200</f>
        <v>691630.08000000007</v>
      </c>
      <c r="H202" s="52"/>
      <c r="I202" s="54"/>
      <c r="J202" s="55"/>
      <c r="K202" s="55">
        <f>K201+K200</f>
        <v>72081.428639999998</v>
      </c>
      <c r="L202" s="52"/>
      <c r="M202" s="54"/>
      <c r="N202" s="55"/>
      <c r="O202" s="55">
        <f>O201+O200</f>
        <v>219794.45856</v>
      </c>
      <c r="P202" s="52"/>
      <c r="Q202" s="54"/>
      <c r="R202" s="55"/>
      <c r="S202" s="55">
        <f>S201+S200</f>
        <v>173409.73344000001</v>
      </c>
      <c r="T202" s="52"/>
      <c r="U202" s="54"/>
      <c r="V202" s="55"/>
      <c r="W202" s="55">
        <f>W201+W200</f>
        <v>203242.12704000005</v>
      </c>
      <c r="X202" s="52"/>
      <c r="Y202" s="54"/>
      <c r="Z202" s="55"/>
      <c r="AA202" s="55">
        <f>AA201+AA200</f>
        <v>23102.332320000001</v>
      </c>
    </row>
    <row r="203" spans="1:27">
      <c r="A203" s="73"/>
      <c r="B203" s="74"/>
      <c r="C203" s="45"/>
      <c r="D203" s="46"/>
      <c r="E203" s="51"/>
      <c r="F203" s="48"/>
      <c r="G203" s="48"/>
      <c r="H203" s="46"/>
      <c r="I203" s="47"/>
      <c r="J203" s="48"/>
      <c r="K203" s="48"/>
      <c r="L203" s="49"/>
      <c r="M203" s="50"/>
      <c r="N203" s="48"/>
      <c r="O203" s="48"/>
      <c r="P203" s="49"/>
      <c r="Q203" s="50"/>
      <c r="R203" s="48"/>
      <c r="S203" s="48"/>
      <c r="T203" s="49"/>
      <c r="U203" s="50"/>
      <c r="V203" s="48"/>
      <c r="W203" s="48"/>
      <c r="X203" s="49"/>
      <c r="Y203" s="50"/>
      <c r="Z203" s="48"/>
      <c r="AA203" s="48"/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scale="99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A94"/>
  <sheetViews>
    <sheetView showGridLines="0" view="pageBreakPreview" zoomScale="70" zoomScaleNormal="85" zoomScaleSheetLayoutView="70" workbookViewId="0">
      <pane ySplit="5" topLeftCell="A6" activePane="bottomLeft" state="frozen"/>
      <selection activeCell="C15" sqref="C15:I15"/>
      <selection pane="bottomLeft" activeCell="D17" sqref="D17"/>
    </sheetView>
  </sheetViews>
  <sheetFormatPr baseColWidth="10" defaultColWidth="11.44140625" defaultRowHeight="14.4"/>
  <cols>
    <col min="1" max="1" width="3.33203125" style="2" customWidth="1"/>
    <col min="2" max="2" width="4.109375" style="3" bestFit="1" customWidth="1"/>
    <col min="3" max="3" width="55.6640625" style="24" customWidth="1"/>
    <col min="4" max="4" width="4.5546875" style="1" bestFit="1" customWidth="1"/>
    <col min="5" max="5" width="7.88671875" style="1" customWidth="1"/>
    <col min="6" max="6" width="12" style="1" bestFit="1" customWidth="1"/>
    <col min="7" max="7" width="16.44140625" style="1" customWidth="1"/>
    <col min="8" max="8" width="2.6640625" style="1" customWidth="1"/>
    <col min="9" max="9" width="7.5546875" style="1" bestFit="1" customWidth="1"/>
    <col min="10" max="10" width="14.6640625" style="1" bestFit="1" customWidth="1"/>
    <col min="11" max="11" width="15.33203125" style="1" bestFit="1" customWidth="1"/>
    <col min="12" max="12" width="2.6640625" style="1" customWidth="1"/>
    <col min="13" max="13" width="7.5546875" style="1" bestFit="1" customWidth="1"/>
    <col min="14" max="14" width="11.44140625" style="1" bestFit="1" customWidth="1"/>
    <col min="15" max="15" width="15" style="1" bestFit="1" customWidth="1"/>
    <col min="16" max="16" width="2.6640625" style="1" customWidth="1"/>
    <col min="17" max="17" width="7.5546875" style="1" bestFit="1" customWidth="1"/>
    <col min="18" max="18" width="11.44140625" style="1" bestFit="1" customWidth="1"/>
    <col min="19" max="19" width="15" style="1" bestFit="1" customWidth="1"/>
    <col min="20" max="20" width="2.6640625" style="1" customWidth="1"/>
    <col min="21" max="21" width="7.5546875" style="1" bestFit="1" customWidth="1"/>
    <col min="22" max="22" width="11.44140625" style="1" bestFit="1" customWidth="1"/>
    <col min="23" max="23" width="16" style="1" bestFit="1" customWidth="1"/>
    <col min="24" max="24" width="2.6640625" style="1" customWidth="1"/>
    <col min="25" max="25" width="7.5546875" style="1" bestFit="1" customWidth="1"/>
    <col min="26" max="26" width="11.44140625" style="1" bestFit="1" customWidth="1"/>
    <col min="27" max="27" width="14.44140625" style="1" bestFit="1" customWidth="1"/>
    <col min="28" max="16384" width="11.44140625" style="1"/>
  </cols>
  <sheetData>
    <row r="1" spans="1:27" ht="23.25" customHeight="1">
      <c r="A1" s="566" t="s">
        <v>706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8"/>
    </row>
    <row r="2" spans="1:27" ht="8.4" customHeight="1">
      <c r="A2" s="15"/>
      <c r="C2" s="3"/>
      <c r="D2" s="3"/>
      <c r="E2" s="3"/>
      <c r="F2" s="3"/>
      <c r="G2" s="2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23"/>
    </row>
    <row r="3" spans="1:27" ht="19.5" customHeight="1">
      <c r="A3" s="16"/>
      <c r="C3" s="203" t="str">
        <f>'Page de garde'!C15</f>
        <v>IND 00 du 10/06/2025</v>
      </c>
      <c r="E3" s="569" t="s">
        <v>12</v>
      </c>
      <c r="F3" s="570"/>
      <c r="G3" s="571"/>
      <c r="I3" s="572" t="s">
        <v>30</v>
      </c>
      <c r="J3" s="573"/>
      <c r="K3" s="574"/>
      <c r="M3" s="572" t="s">
        <v>31</v>
      </c>
      <c r="N3" s="573"/>
      <c r="O3" s="574"/>
      <c r="Q3" s="572" t="s">
        <v>33</v>
      </c>
      <c r="R3" s="573"/>
      <c r="S3" s="574"/>
      <c r="U3" s="572" t="s">
        <v>34</v>
      </c>
      <c r="V3" s="573"/>
      <c r="W3" s="574"/>
      <c r="Y3" s="572" t="s">
        <v>35</v>
      </c>
      <c r="Z3" s="573"/>
      <c r="AA3" s="574"/>
    </row>
    <row r="4" spans="1:27" ht="19.5" customHeight="1">
      <c r="A4" s="16"/>
      <c r="C4" s="319"/>
      <c r="E4" s="76"/>
      <c r="F4" s="77"/>
      <c r="G4" s="78" t="s">
        <v>11</v>
      </c>
      <c r="I4" s="57"/>
      <c r="J4" s="58"/>
      <c r="K4" s="59" t="s">
        <v>11</v>
      </c>
      <c r="M4" s="60"/>
      <c r="N4" s="58"/>
      <c r="O4" s="59" t="s">
        <v>11</v>
      </c>
      <c r="Q4" s="60"/>
      <c r="R4" s="58"/>
      <c r="S4" s="59" t="s">
        <v>11</v>
      </c>
      <c r="U4" s="60"/>
      <c r="V4" s="58"/>
      <c r="W4" s="59" t="s">
        <v>11</v>
      </c>
      <c r="Y4" s="60"/>
      <c r="Z4" s="58"/>
      <c r="AA4" s="59" t="s">
        <v>11</v>
      </c>
    </row>
    <row r="5" spans="1:27" s="17" customFormat="1" ht="24">
      <c r="A5" s="565" t="s">
        <v>1</v>
      </c>
      <c r="B5" s="565"/>
      <c r="C5" s="25" t="s">
        <v>2</v>
      </c>
      <c r="D5" s="18" t="s">
        <v>0</v>
      </c>
      <c r="E5" s="79" t="s">
        <v>3</v>
      </c>
      <c r="F5" s="79" t="s">
        <v>4</v>
      </c>
      <c r="G5" s="79" t="s">
        <v>5</v>
      </c>
      <c r="H5" s="18"/>
      <c r="I5" s="19" t="s">
        <v>3</v>
      </c>
      <c r="J5" s="19" t="s">
        <v>4</v>
      </c>
      <c r="K5" s="19" t="s">
        <v>5</v>
      </c>
      <c r="L5" s="20"/>
      <c r="M5" s="19" t="s">
        <v>3</v>
      </c>
      <c r="N5" s="19" t="s">
        <v>4</v>
      </c>
      <c r="O5" s="19" t="s">
        <v>5</v>
      </c>
      <c r="P5" s="20"/>
      <c r="Q5" s="19" t="s">
        <v>3</v>
      </c>
      <c r="R5" s="19" t="s">
        <v>4</v>
      </c>
      <c r="S5" s="19" t="s">
        <v>5</v>
      </c>
      <c r="T5" s="20"/>
      <c r="U5" s="19" t="s">
        <v>3</v>
      </c>
      <c r="V5" s="19" t="s">
        <v>4</v>
      </c>
      <c r="W5" s="19" t="s">
        <v>5</v>
      </c>
      <c r="X5" s="20"/>
      <c r="Y5" s="19" t="s">
        <v>3</v>
      </c>
      <c r="Z5" s="19" t="s">
        <v>4</v>
      </c>
      <c r="AA5" s="19" t="s">
        <v>5</v>
      </c>
    </row>
    <row r="6" spans="1:27" s="407" customFormat="1">
      <c r="A6" s="437"/>
      <c r="B6" s="429" t="s">
        <v>19</v>
      </c>
      <c r="C6" s="430" t="s">
        <v>669</v>
      </c>
      <c r="D6" s="431"/>
      <c r="E6" s="434"/>
      <c r="F6" s="433"/>
      <c r="G6" s="396">
        <f>SUM(G7:G11)</f>
        <v>1407</v>
      </c>
      <c r="H6" s="431"/>
      <c r="I6" s="434"/>
      <c r="J6" s="433"/>
      <c r="K6" s="396">
        <f>SUM(K7:K11)</f>
        <v>977</v>
      </c>
      <c r="M6" s="434"/>
      <c r="N6" s="433"/>
      <c r="O6" s="396">
        <f>SUM(O7:O11)</f>
        <v>0</v>
      </c>
      <c r="Q6" s="434"/>
      <c r="R6" s="433"/>
      <c r="S6" s="396">
        <f>SUM(S7:S11)</f>
        <v>0</v>
      </c>
      <c r="U6" s="434"/>
      <c r="V6" s="433"/>
      <c r="W6" s="396">
        <f>SUM(W7:W11)</f>
        <v>0</v>
      </c>
      <c r="Y6" s="434"/>
      <c r="Z6" s="433"/>
      <c r="AA6" s="396">
        <f>SUM(AA7:AA11)</f>
        <v>430</v>
      </c>
    </row>
    <row r="7" spans="1:27" s="397" customFormat="1" ht="16.95" customHeight="1">
      <c r="A7" s="390"/>
      <c r="B7" s="429" t="s">
        <v>970</v>
      </c>
      <c r="C7" s="430" t="s">
        <v>969</v>
      </c>
      <c r="D7" s="359" t="s">
        <v>1014</v>
      </c>
      <c r="E7" s="432"/>
      <c r="F7" s="433"/>
      <c r="G7" s="396"/>
      <c r="H7" s="431"/>
      <c r="I7" s="434"/>
      <c r="J7" s="433"/>
      <c r="K7" s="361"/>
      <c r="L7" s="407"/>
      <c r="M7" s="434"/>
      <c r="N7" s="433"/>
      <c r="O7" s="361"/>
      <c r="P7" s="407"/>
      <c r="Q7" s="434"/>
      <c r="R7" s="433"/>
      <c r="S7" s="361"/>
      <c r="T7" s="407"/>
      <c r="U7" s="434"/>
      <c r="V7" s="433"/>
      <c r="W7" s="361"/>
      <c r="X7" s="407"/>
      <c r="Y7" s="434"/>
      <c r="Z7" s="433"/>
      <c r="AA7" s="361"/>
    </row>
    <row r="8" spans="1:27" s="397" customFormat="1">
      <c r="A8" s="390"/>
      <c r="B8" s="429" t="s">
        <v>1035</v>
      </c>
      <c r="C8" s="430" t="s">
        <v>971</v>
      </c>
      <c r="D8" s="359"/>
      <c r="E8" s="432"/>
      <c r="F8" s="433"/>
      <c r="G8" s="396"/>
      <c r="H8" s="431"/>
      <c r="I8" s="434"/>
      <c r="J8" s="433"/>
      <c r="K8" s="361"/>
      <c r="L8" s="407"/>
      <c r="M8" s="434"/>
      <c r="N8" s="433"/>
      <c r="O8" s="361"/>
      <c r="P8" s="407"/>
      <c r="Q8" s="434"/>
      <c r="R8" s="433"/>
      <c r="S8" s="361"/>
      <c r="T8" s="407"/>
      <c r="U8" s="434"/>
      <c r="V8" s="433"/>
      <c r="W8" s="361"/>
      <c r="X8" s="407"/>
      <c r="Y8" s="434"/>
      <c r="Z8" s="433"/>
      <c r="AA8" s="361"/>
    </row>
    <row r="9" spans="1:27" s="397" customFormat="1">
      <c r="A9" s="390"/>
      <c r="B9" s="429"/>
      <c r="C9" s="358" t="s">
        <v>670</v>
      </c>
      <c r="D9" s="359" t="s">
        <v>6</v>
      </c>
      <c r="E9" s="432">
        <f>I9+M9+Q9+U9+Y9</f>
        <v>1</v>
      </c>
      <c r="F9" s="361">
        <v>977</v>
      </c>
      <c r="G9" s="361">
        <f t="shared" ref="G9:G10" si="0">K9+O9+S9+W9+AA9</f>
        <v>977</v>
      </c>
      <c r="H9" s="359"/>
      <c r="I9" s="432">
        <v>1</v>
      </c>
      <c r="J9" s="361">
        <f>F9</f>
        <v>977</v>
      </c>
      <c r="K9" s="361">
        <f t="shared" ref="K9:K71" si="1">I9*J9</f>
        <v>977</v>
      </c>
      <c r="M9" s="432"/>
      <c r="N9" s="361"/>
      <c r="O9" s="361">
        <f t="shared" ref="O9:O71" si="2">M9*N9</f>
        <v>0</v>
      </c>
      <c r="Q9" s="432"/>
      <c r="R9" s="361"/>
      <c r="S9" s="361">
        <f t="shared" ref="S9:S71" si="3">Q9*R9</f>
        <v>0</v>
      </c>
      <c r="U9" s="432"/>
      <c r="V9" s="361"/>
      <c r="W9" s="361">
        <f t="shared" ref="W9:W71" si="4">U9*V9</f>
        <v>0</v>
      </c>
      <c r="Y9" s="432"/>
      <c r="Z9" s="361"/>
      <c r="AA9" s="361">
        <f t="shared" ref="AA9:AA71" si="5">Y9*Z9</f>
        <v>0</v>
      </c>
    </row>
    <row r="10" spans="1:27" s="397" customFormat="1">
      <c r="A10" s="390"/>
      <c r="B10" s="429"/>
      <c r="C10" s="358" t="s">
        <v>671</v>
      </c>
      <c r="D10" s="359" t="s">
        <v>6</v>
      </c>
      <c r="E10" s="432">
        <f>I10+M10+Q10+U10+Y10</f>
        <v>1</v>
      </c>
      <c r="F10" s="361">
        <v>430</v>
      </c>
      <c r="G10" s="361">
        <f t="shared" si="0"/>
        <v>430</v>
      </c>
      <c r="H10" s="359"/>
      <c r="I10" s="432"/>
      <c r="J10" s="361"/>
      <c r="K10" s="361">
        <f t="shared" si="1"/>
        <v>0</v>
      </c>
      <c r="M10" s="432"/>
      <c r="N10" s="361"/>
      <c r="O10" s="361">
        <f t="shared" si="2"/>
        <v>0</v>
      </c>
      <c r="Q10" s="432"/>
      <c r="R10" s="361"/>
      <c r="S10" s="361">
        <f t="shared" si="3"/>
        <v>0</v>
      </c>
      <c r="U10" s="432"/>
      <c r="V10" s="361"/>
      <c r="W10" s="361">
        <f t="shared" si="4"/>
        <v>0</v>
      </c>
      <c r="Y10" s="432">
        <v>1</v>
      </c>
      <c r="Z10" s="361">
        <f>F10</f>
        <v>430</v>
      </c>
      <c r="AA10" s="361">
        <f t="shared" si="5"/>
        <v>430</v>
      </c>
    </row>
    <row r="11" spans="1:27" s="397" customFormat="1">
      <c r="A11" s="390"/>
      <c r="B11" s="429"/>
      <c r="C11" s="358"/>
      <c r="D11" s="359"/>
      <c r="E11" s="432"/>
      <c r="F11" s="361"/>
      <c r="G11" s="361"/>
      <c r="H11" s="359"/>
      <c r="I11" s="432"/>
      <c r="J11" s="361"/>
      <c r="K11" s="361"/>
      <c r="M11" s="432"/>
      <c r="N11" s="361"/>
      <c r="O11" s="361"/>
      <c r="Q11" s="432"/>
      <c r="R11" s="361"/>
      <c r="S11" s="361"/>
      <c r="U11" s="432"/>
      <c r="V11" s="361"/>
      <c r="W11" s="361"/>
      <c r="Y11" s="432"/>
      <c r="Z11" s="361"/>
      <c r="AA11" s="361"/>
    </row>
    <row r="12" spans="1:27" s="407" customFormat="1">
      <c r="A12" s="437"/>
      <c r="B12" s="429" t="s">
        <v>78</v>
      </c>
      <c r="C12" s="430" t="s">
        <v>678</v>
      </c>
      <c r="D12" s="431"/>
      <c r="E12" s="434"/>
      <c r="F12" s="396"/>
      <c r="G12" s="396">
        <f>SUM(G13:G15)</f>
        <v>2401</v>
      </c>
      <c r="H12" s="431"/>
      <c r="I12" s="434"/>
      <c r="J12" s="396"/>
      <c r="K12" s="396">
        <f>SUM(K13:K15)</f>
        <v>480.20000000000005</v>
      </c>
      <c r="M12" s="434"/>
      <c r="N12" s="396"/>
      <c r="O12" s="396">
        <f>SUM(O13:O15)</f>
        <v>240.10000000000002</v>
      </c>
      <c r="Q12" s="434"/>
      <c r="R12" s="396"/>
      <c r="S12" s="396">
        <f>SUM(S13:S15)</f>
        <v>240.10000000000002</v>
      </c>
      <c r="U12" s="434"/>
      <c r="V12" s="396"/>
      <c r="W12" s="396">
        <f>SUM(W13:W15)</f>
        <v>1200.5</v>
      </c>
      <c r="Y12" s="434"/>
      <c r="Z12" s="396"/>
      <c r="AA12" s="396">
        <f>SUM(AA13:AA15)</f>
        <v>240.10000000000002</v>
      </c>
    </row>
    <row r="13" spans="1:27" s="407" customFormat="1" ht="27.6">
      <c r="A13" s="437"/>
      <c r="B13" s="429" t="s">
        <v>972</v>
      </c>
      <c r="C13" s="430" t="s">
        <v>440</v>
      </c>
      <c r="D13" s="431"/>
      <c r="E13" s="434"/>
      <c r="F13" s="396"/>
      <c r="G13" s="396"/>
      <c r="H13" s="431"/>
      <c r="I13" s="434"/>
      <c r="J13" s="396"/>
      <c r="K13" s="396">
        <f t="shared" si="1"/>
        <v>0</v>
      </c>
      <c r="M13" s="434"/>
      <c r="N13" s="396"/>
      <c r="O13" s="396">
        <f t="shared" si="2"/>
        <v>0</v>
      </c>
      <c r="Q13" s="434"/>
      <c r="R13" s="396"/>
      <c r="S13" s="396">
        <f t="shared" si="3"/>
        <v>0</v>
      </c>
      <c r="U13" s="434"/>
      <c r="V13" s="396"/>
      <c r="W13" s="396">
        <f t="shared" si="4"/>
        <v>0</v>
      </c>
      <c r="Y13" s="434"/>
      <c r="Z13" s="396"/>
      <c r="AA13" s="396">
        <f t="shared" si="5"/>
        <v>0</v>
      </c>
    </row>
    <row r="14" spans="1:27" s="397" customFormat="1">
      <c r="A14" s="390"/>
      <c r="B14" s="429"/>
      <c r="C14" s="358" t="s">
        <v>441</v>
      </c>
      <c r="D14" s="359" t="s">
        <v>6</v>
      </c>
      <c r="E14" s="432">
        <f>I14+M14+Q14+U14+Y14</f>
        <v>1</v>
      </c>
      <c r="F14" s="361">
        <v>2401</v>
      </c>
      <c r="G14" s="361">
        <f>K14+O14+S14+W14+AA14</f>
        <v>2401</v>
      </c>
      <c r="H14" s="359"/>
      <c r="I14" s="432">
        <v>0.2</v>
      </c>
      <c r="J14" s="361">
        <f>F14</f>
        <v>2401</v>
      </c>
      <c r="K14" s="361">
        <f t="shared" si="1"/>
        <v>480.20000000000005</v>
      </c>
      <c r="M14" s="432">
        <v>0.1</v>
      </c>
      <c r="N14" s="361">
        <f>F14</f>
        <v>2401</v>
      </c>
      <c r="O14" s="361">
        <f t="shared" si="2"/>
        <v>240.10000000000002</v>
      </c>
      <c r="Q14" s="432">
        <v>0.1</v>
      </c>
      <c r="R14" s="361">
        <f>F14</f>
        <v>2401</v>
      </c>
      <c r="S14" s="361">
        <f t="shared" si="3"/>
        <v>240.10000000000002</v>
      </c>
      <c r="U14" s="432">
        <v>0.5</v>
      </c>
      <c r="V14" s="361">
        <f>F14</f>
        <v>2401</v>
      </c>
      <c r="W14" s="361">
        <f t="shared" si="4"/>
        <v>1200.5</v>
      </c>
      <c r="Y14" s="432">
        <v>0.1</v>
      </c>
      <c r="Z14" s="361">
        <f>F14</f>
        <v>2401</v>
      </c>
      <c r="AA14" s="361">
        <f t="shared" si="5"/>
        <v>240.10000000000002</v>
      </c>
    </row>
    <row r="15" spans="1:27" s="397" customFormat="1">
      <c r="A15" s="390"/>
      <c r="B15" s="429"/>
      <c r="C15" s="358"/>
      <c r="D15" s="359"/>
      <c r="E15" s="432"/>
      <c r="F15" s="361"/>
      <c r="G15" s="361"/>
      <c r="H15" s="359"/>
      <c r="I15" s="432"/>
      <c r="J15" s="361"/>
      <c r="K15" s="361">
        <f t="shared" si="1"/>
        <v>0</v>
      </c>
      <c r="M15" s="432"/>
      <c r="N15" s="361"/>
      <c r="O15" s="361">
        <f t="shared" si="2"/>
        <v>0</v>
      </c>
      <c r="Q15" s="432"/>
      <c r="R15" s="361"/>
      <c r="S15" s="361">
        <f t="shared" si="3"/>
        <v>0</v>
      </c>
      <c r="U15" s="432"/>
      <c r="V15" s="361"/>
      <c r="W15" s="361">
        <f t="shared" si="4"/>
        <v>0</v>
      </c>
      <c r="Y15" s="432"/>
      <c r="Z15" s="361"/>
      <c r="AA15" s="361">
        <f t="shared" si="5"/>
        <v>0</v>
      </c>
    </row>
    <row r="16" spans="1:27" s="407" customFormat="1" ht="27.6">
      <c r="A16" s="437"/>
      <c r="B16" s="429" t="s">
        <v>978</v>
      </c>
      <c r="C16" s="430" t="s">
        <v>679</v>
      </c>
      <c r="D16" s="431"/>
      <c r="E16" s="434"/>
      <c r="F16" s="396"/>
      <c r="G16" s="396">
        <f>G17+G21+G27</f>
        <v>15341</v>
      </c>
      <c r="H16" s="431"/>
      <c r="I16" s="434"/>
      <c r="J16" s="396"/>
      <c r="K16" s="396">
        <f>K17+K21+K27</f>
        <v>750</v>
      </c>
      <c r="M16" s="434"/>
      <c r="N16" s="396"/>
      <c r="O16" s="396">
        <f>O17+O21+O27</f>
        <v>250</v>
      </c>
      <c r="Q16" s="434"/>
      <c r="R16" s="396"/>
      <c r="S16" s="396">
        <f>S17+S21+S27</f>
        <v>5996</v>
      </c>
      <c r="U16" s="434"/>
      <c r="V16" s="396"/>
      <c r="W16" s="396">
        <f>W17+W21+W27</f>
        <v>8095</v>
      </c>
      <c r="Y16" s="434"/>
      <c r="Z16" s="396"/>
      <c r="AA16" s="396">
        <f>AA17+AA21+AA27</f>
        <v>250</v>
      </c>
    </row>
    <row r="17" spans="1:27" s="397" customFormat="1">
      <c r="A17" s="390"/>
      <c r="B17" s="429"/>
      <c r="C17" s="358" t="s">
        <v>423</v>
      </c>
      <c r="D17" s="359"/>
      <c r="E17" s="432"/>
      <c r="F17" s="361"/>
      <c r="G17" s="361">
        <f>SUM(G18:G20)</f>
        <v>7050</v>
      </c>
      <c r="H17" s="359"/>
      <c r="I17" s="432"/>
      <c r="J17" s="361"/>
      <c r="K17" s="361">
        <f>SUM(K18:K20)</f>
        <v>0</v>
      </c>
      <c r="M17" s="432"/>
      <c r="N17" s="361"/>
      <c r="O17" s="361">
        <f>SUM(O18:O20)</f>
        <v>0</v>
      </c>
      <c r="Q17" s="432"/>
      <c r="R17" s="361"/>
      <c r="S17" s="361">
        <f>SUM(S18:S20)</f>
        <v>0</v>
      </c>
      <c r="U17" s="432"/>
      <c r="V17" s="361"/>
      <c r="W17" s="361">
        <f>SUM(W18:W20)</f>
        <v>7050</v>
      </c>
      <c r="Y17" s="432"/>
      <c r="Z17" s="361"/>
      <c r="AA17" s="361">
        <f>SUM(AA18:AA20)</f>
        <v>0</v>
      </c>
    </row>
    <row r="18" spans="1:27" s="397" customFormat="1">
      <c r="A18" s="390"/>
      <c r="B18" s="429"/>
      <c r="C18" s="358" t="s">
        <v>672</v>
      </c>
      <c r="D18" s="359" t="s">
        <v>397</v>
      </c>
      <c r="E18" s="432">
        <f>I18+M18+Q18+U18+Y18</f>
        <v>50</v>
      </c>
      <c r="F18" s="361">
        <v>16</v>
      </c>
      <c r="G18" s="361">
        <f t="shared" ref="G18:G75" si="6">K18+O18+S18+W18+AA18</f>
        <v>800</v>
      </c>
      <c r="H18" s="359"/>
      <c r="I18" s="432"/>
      <c r="J18" s="361"/>
      <c r="K18" s="361">
        <f t="shared" si="1"/>
        <v>0</v>
      </c>
      <c r="M18" s="432"/>
      <c r="N18" s="361"/>
      <c r="O18" s="361">
        <f t="shared" si="2"/>
        <v>0</v>
      </c>
      <c r="Q18" s="432"/>
      <c r="R18" s="361"/>
      <c r="S18" s="361">
        <f t="shared" si="3"/>
        <v>0</v>
      </c>
      <c r="U18" s="432">
        <v>50</v>
      </c>
      <c r="V18" s="361">
        <f>F18</f>
        <v>16</v>
      </c>
      <c r="W18" s="361">
        <f t="shared" si="4"/>
        <v>800</v>
      </c>
      <c r="Y18" s="432"/>
      <c r="Z18" s="361"/>
      <c r="AA18" s="361">
        <f t="shared" si="5"/>
        <v>0</v>
      </c>
    </row>
    <row r="19" spans="1:27" s="397" customFormat="1">
      <c r="A19" s="390"/>
      <c r="B19" s="429"/>
      <c r="C19" s="358" t="s">
        <v>424</v>
      </c>
      <c r="D19" s="359" t="s">
        <v>397</v>
      </c>
      <c r="E19" s="432">
        <f>I19+M19+Q19+U19+Y19</f>
        <v>50</v>
      </c>
      <c r="F19" s="361">
        <v>125</v>
      </c>
      <c r="G19" s="361">
        <f t="shared" si="6"/>
        <v>6250</v>
      </c>
      <c r="H19" s="359"/>
      <c r="I19" s="432"/>
      <c r="J19" s="361"/>
      <c r="K19" s="361">
        <f t="shared" si="1"/>
        <v>0</v>
      </c>
      <c r="M19" s="432"/>
      <c r="N19" s="361"/>
      <c r="O19" s="361">
        <f t="shared" si="2"/>
        <v>0</v>
      </c>
      <c r="Q19" s="432"/>
      <c r="R19" s="361"/>
      <c r="S19" s="361">
        <f t="shared" si="3"/>
        <v>0</v>
      </c>
      <c r="U19" s="432">
        <v>50</v>
      </c>
      <c r="V19" s="361">
        <f>F19</f>
        <v>125</v>
      </c>
      <c r="W19" s="361">
        <f t="shared" si="4"/>
        <v>6250</v>
      </c>
      <c r="Y19" s="432"/>
      <c r="Z19" s="361"/>
      <c r="AA19" s="361">
        <f t="shared" si="5"/>
        <v>0</v>
      </c>
    </row>
    <row r="20" spans="1:27" s="397" customFormat="1">
      <c r="A20" s="390"/>
      <c r="B20" s="429"/>
      <c r="C20" s="358"/>
      <c r="D20" s="359"/>
      <c r="E20" s="432"/>
      <c r="F20" s="361"/>
      <c r="G20" s="361"/>
      <c r="H20" s="359"/>
      <c r="I20" s="432"/>
      <c r="J20" s="361"/>
      <c r="K20" s="361">
        <f t="shared" si="1"/>
        <v>0</v>
      </c>
      <c r="M20" s="432"/>
      <c r="N20" s="361"/>
      <c r="O20" s="361">
        <f t="shared" si="2"/>
        <v>0</v>
      </c>
      <c r="Q20" s="432"/>
      <c r="R20" s="361"/>
      <c r="S20" s="361">
        <f t="shared" si="3"/>
        <v>0</v>
      </c>
      <c r="U20" s="432"/>
      <c r="V20" s="361"/>
      <c r="W20" s="361">
        <f t="shared" si="4"/>
        <v>0</v>
      </c>
      <c r="Y20" s="432"/>
      <c r="Z20" s="361"/>
      <c r="AA20" s="361">
        <f t="shared" si="5"/>
        <v>0</v>
      </c>
    </row>
    <row r="21" spans="1:27" s="397" customFormat="1">
      <c r="A21" s="390"/>
      <c r="B21" s="429"/>
      <c r="C21" s="358" t="s">
        <v>1036</v>
      </c>
      <c r="D21" s="359"/>
      <c r="E21" s="432"/>
      <c r="F21" s="361"/>
      <c r="G21" s="361">
        <f>SUM(G22:G26)</f>
        <v>5791</v>
      </c>
      <c r="H21" s="359"/>
      <c r="I21" s="432"/>
      <c r="J21" s="361"/>
      <c r="K21" s="361">
        <f>SUM(K22:K26)</f>
        <v>0</v>
      </c>
      <c r="M21" s="432"/>
      <c r="N21" s="361"/>
      <c r="O21" s="361">
        <f>SUM(O22:O26)</f>
        <v>0</v>
      </c>
      <c r="Q21" s="432"/>
      <c r="R21" s="361"/>
      <c r="S21" s="361">
        <f>SUM(S22:S26)</f>
        <v>4996</v>
      </c>
      <c r="U21" s="432"/>
      <c r="V21" s="361"/>
      <c r="W21" s="361">
        <f>SUM(W22:W26)</f>
        <v>795</v>
      </c>
      <c r="Y21" s="432"/>
      <c r="Z21" s="361"/>
      <c r="AA21" s="361">
        <f>SUM(AA22:AA26)</f>
        <v>0</v>
      </c>
    </row>
    <row r="22" spans="1:27" s="397" customFormat="1">
      <c r="A22" s="390"/>
      <c r="B22" s="429"/>
      <c r="C22" s="358" t="s">
        <v>673</v>
      </c>
      <c r="D22" s="359" t="s">
        <v>397</v>
      </c>
      <c r="E22" s="432">
        <f>I22+M22+Q22+U22+Y22</f>
        <v>59</v>
      </c>
      <c r="F22" s="361">
        <v>65</v>
      </c>
      <c r="G22" s="361">
        <f t="shared" si="6"/>
        <v>3835</v>
      </c>
      <c r="H22" s="359"/>
      <c r="I22" s="432"/>
      <c r="J22" s="361"/>
      <c r="K22" s="361">
        <f t="shared" si="1"/>
        <v>0</v>
      </c>
      <c r="M22" s="432"/>
      <c r="N22" s="361"/>
      <c r="O22" s="361">
        <f t="shared" si="2"/>
        <v>0</v>
      </c>
      <c r="Q22" s="432">
        <v>50</v>
      </c>
      <c r="R22" s="361">
        <f>F22</f>
        <v>65</v>
      </c>
      <c r="S22" s="361">
        <f t="shared" si="3"/>
        <v>3250</v>
      </c>
      <c r="U22" s="432">
        <v>9</v>
      </c>
      <c r="V22" s="361">
        <f>F22</f>
        <v>65</v>
      </c>
      <c r="W22" s="361">
        <f t="shared" si="4"/>
        <v>585</v>
      </c>
      <c r="Y22" s="432"/>
      <c r="Z22" s="361"/>
      <c r="AA22" s="361">
        <f t="shared" si="5"/>
        <v>0</v>
      </c>
    </row>
    <row r="23" spans="1:27" s="397" customFormat="1">
      <c r="A23" s="390"/>
      <c r="B23" s="429"/>
      <c r="C23" s="358" t="s">
        <v>674</v>
      </c>
      <c r="D23" s="359" t="s">
        <v>398</v>
      </c>
      <c r="E23" s="432">
        <f>I23+M23+Q23+U23+Y23</f>
        <v>8</v>
      </c>
      <c r="F23" s="361">
        <v>56</v>
      </c>
      <c r="G23" s="361">
        <f t="shared" si="6"/>
        <v>448</v>
      </c>
      <c r="H23" s="359"/>
      <c r="I23" s="432"/>
      <c r="J23" s="361"/>
      <c r="K23" s="361">
        <f t="shared" si="1"/>
        <v>0</v>
      </c>
      <c r="M23" s="432"/>
      <c r="N23" s="361"/>
      <c r="O23" s="361">
        <f t="shared" si="2"/>
        <v>0</v>
      </c>
      <c r="Q23" s="432">
        <v>8</v>
      </c>
      <c r="R23" s="361">
        <f>F23</f>
        <v>56</v>
      </c>
      <c r="S23" s="361">
        <f t="shared" si="3"/>
        <v>448</v>
      </c>
      <c r="U23" s="432"/>
      <c r="V23" s="361"/>
      <c r="W23" s="361">
        <f t="shared" si="4"/>
        <v>0</v>
      </c>
      <c r="Y23" s="432"/>
      <c r="Z23" s="361"/>
      <c r="AA23" s="361">
        <f t="shared" si="5"/>
        <v>0</v>
      </c>
    </row>
    <row r="24" spans="1:27" s="397" customFormat="1">
      <c r="A24" s="390"/>
      <c r="B24" s="429"/>
      <c r="C24" s="358" t="s">
        <v>675</v>
      </c>
      <c r="D24" s="359" t="s">
        <v>398</v>
      </c>
      <c r="E24" s="432">
        <f>I24+M24+Q24+U24+Y24</f>
        <v>4</v>
      </c>
      <c r="F24" s="361">
        <v>167</v>
      </c>
      <c r="G24" s="361">
        <f t="shared" si="6"/>
        <v>668</v>
      </c>
      <c r="H24" s="359"/>
      <c r="I24" s="432"/>
      <c r="J24" s="361"/>
      <c r="K24" s="361">
        <f t="shared" si="1"/>
        <v>0</v>
      </c>
      <c r="M24" s="432"/>
      <c r="N24" s="361"/>
      <c r="O24" s="361">
        <f t="shared" si="2"/>
        <v>0</v>
      </c>
      <c r="Q24" s="432">
        <v>4</v>
      </c>
      <c r="R24" s="361">
        <f>F24</f>
        <v>167</v>
      </c>
      <c r="S24" s="361">
        <f t="shared" si="3"/>
        <v>668</v>
      </c>
      <c r="U24" s="432"/>
      <c r="V24" s="361"/>
      <c r="W24" s="361">
        <f t="shared" si="4"/>
        <v>0</v>
      </c>
      <c r="Y24" s="432"/>
      <c r="Z24" s="361"/>
      <c r="AA24" s="361">
        <f t="shared" si="5"/>
        <v>0</v>
      </c>
    </row>
    <row r="25" spans="1:27" s="397" customFormat="1">
      <c r="A25" s="390"/>
      <c r="B25" s="429"/>
      <c r="C25" s="358" t="s">
        <v>676</v>
      </c>
      <c r="D25" s="359" t="s">
        <v>397</v>
      </c>
      <c r="E25" s="432">
        <f>I25+M25+Q25+U25+Y25</f>
        <v>24</v>
      </c>
      <c r="F25" s="361">
        <v>35</v>
      </c>
      <c r="G25" s="361">
        <f t="shared" si="6"/>
        <v>840</v>
      </c>
      <c r="H25" s="359"/>
      <c r="I25" s="432"/>
      <c r="J25" s="361"/>
      <c r="K25" s="361">
        <f t="shared" si="1"/>
        <v>0</v>
      </c>
      <c r="M25" s="432"/>
      <c r="N25" s="361"/>
      <c r="O25" s="361">
        <f t="shared" si="2"/>
        <v>0</v>
      </c>
      <c r="Q25" s="432">
        <v>18</v>
      </c>
      <c r="R25" s="361">
        <f>F25</f>
        <v>35</v>
      </c>
      <c r="S25" s="361">
        <f t="shared" si="3"/>
        <v>630</v>
      </c>
      <c r="U25" s="432">
        <v>6</v>
      </c>
      <c r="V25" s="361">
        <f>F25</f>
        <v>35</v>
      </c>
      <c r="W25" s="361">
        <f t="shared" si="4"/>
        <v>210</v>
      </c>
      <c r="Y25" s="432"/>
      <c r="Z25" s="361"/>
      <c r="AA25" s="361">
        <f t="shared" si="5"/>
        <v>0</v>
      </c>
    </row>
    <row r="26" spans="1:27" s="397" customFormat="1">
      <c r="A26" s="390"/>
      <c r="B26" s="429"/>
      <c r="C26" s="358"/>
      <c r="D26" s="359"/>
      <c r="E26" s="432"/>
      <c r="F26" s="361"/>
      <c r="G26" s="361"/>
      <c r="H26" s="359"/>
      <c r="I26" s="432"/>
      <c r="J26" s="361"/>
      <c r="K26" s="361">
        <f t="shared" si="1"/>
        <v>0</v>
      </c>
      <c r="M26" s="432"/>
      <c r="N26" s="361"/>
      <c r="O26" s="361">
        <f t="shared" si="2"/>
        <v>0</v>
      </c>
      <c r="Q26" s="432"/>
      <c r="R26" s="361"/>
      <c r="S26" s="361">
        <f t="shared" si="3"/>
        <v>0</v>
      </c>
      <c r="U26" s="432"/>
      <c r="V26" s="361"/>
      <c r="W26" s="361">
        <f t="shared" si="4"/>
        <v>0</v>
      </c>
      <c r="Y26" s="432"/>
      <c r="Z26" s="361"/>
      <c r="AA26" s="361">
        <f t="shared" si="5"/>
        <v>0</v>
      </c>
    </row>
    <row r="27" spans="1:27" s="397" customFormat="1">
      <c r="A27" s="390"/>
      <c r="B27" s="429"/>
      <c r="C27" s="358" t="s">
        <v>453</v>
      </c>
      <c r="D27" s="359"/>
      <c r="E27" s="432"/>
      <c r="F27" s="361"/>
      <c r="G27" s="361">
        <f>SUM(G28:G33)</f>
        <v>2500</v>
      </c>
      <c r="H27" s="359"/>
      <c r="I27" s="432"/>
      <c r="J27" s="361"/>
      <c r="K27" s="361">
        <f>SUM(K28:K33)</f>
        <v>750</v>
      </c>
      <c r="M27" s="432"/>
      <c r="N27" s="361"/>
      <c r="O27" s="361">
        <f>SUM(O28:O33)</f>
        <v>250</v>
      </c>
      <c r="Q27" s="432"/>
      <c r="R27" s="361"/>
      <c r="S27" s="361">
        <f>SUM(S28:S33)</f>
        <v>1000</v>
      </c>
      <c r="U27" s="432"/>
      <c r="V27" s="361"/>
      <c r="W27" s="361">
        <f>SUM(W28:W33)</f>
        <v>250</v>
      </c>
      <c r="Y27" s="432"/>
      <c r="Z27" s="361"/>
      <c r="AA27" s="361">
        <f>SUM(AA28:AA33)</f>
        <v>250</v>
      </c>
    </row>
    <row r="28" spans="1:27" s="397" customFormat="1" ht="33" customHeight="1">
      <c r="A28" s="390"/>
      <c r="B28" s="429"/>
      <c r="C28" s="358" t="s">
        <v>454</v>
      </c>
      <c r="D28" s="359" t="s">
        <v>6</v>
      </c>
      <c r="E28" s="432">
        <f>I28+M28+Q28+U28+Y28</f>
        <v>1</v>
      </c>
      <c r="F28" s="361">
        <v>750</v>
      </c>
      <c r="G28" s="361">
        <f t="shared" ref="G28:G32" si="7">K28+O28+S28+W28+AA28</f>
        <v>750</v>
      </c>
      <c r="H28" s="359"/>
      <c r="I28" s="432">
        <v>1</v>
      </c>
      <c r="J28" s="361">
        <f>F28</f>
        <v>750</v>
      </c>
      <c r="K28" s="361">
        <f t="shared" si="1"/>
        <v>750</v>
      </c>
      <c r="M28" s="432"/>
      <c r="N28" s="361"/>
      <c r="O28" s="361">
        <f t="shared" si="2"/>
        <v>0</v>
      </c>
      <c r="Q28" s="432"/>
      <c r="R28" s="361"/>
      <c r="S28" s="361">
        <f t="shared" si="3"/>
        <v>0</v>
      </c>
      <c r="U28" s="432"/>
      <c r="V28" s="361"/>
      <c r="W28" s="361">
        <f t="shared" si="4"/>
        <v>0</v>
      </c>
      <c r="Y28" s="432"/>
      <c r="Z28" s="361"/>
      <c r="AA28" s="361">
        <f t="shared" si="5"/>
        <v>0</v>
      </c>
    </row>
    <row r="29" spans="1:27" s="397" customFormat="1" ht="33" customHeight="1">
      <c r="A29" s="390"/>
      <c r="B29" s="429"/>
      <c r="C29" s="358" t="s">
        <v>454</v>
      </c>
      <c r="D29" s="359" t="s">
        <v>6</v>
      </c>
      <c r="E29" s="432">
        <f>I29+M29+Q29+U29+Y29</f>
        <v>1</v>
      </c>
      <c r="F29" s="361">
        <v>250</v>
      </c>
      <c r="G29" s="361">
        <f t="shared" si="7"/>
        <v>250</v>
      </c>
      <c r="H29" s="359"/>
      <c r="I29" s="432"/>
      <c r="J29" s="361"/>
      <c r="K29" s="361">
        <f t="shared" si="1"/>
        <v>0</v>
      </c>
      <c r="M29" s="432">
        <v>1</v>
      </c>
      <c r="N29" s="361">
        <f>F29</f>
        <v>250</v>
      </c>
      <c r="O29" s="361">
        <f t="shared" si="2"/>
        <v>250</v>
      </c>
      <c r="Q29" s="432"/>
      <c r="R29" s="361"/>
      <c r="S29" s="361">
        <f t="shared" si="3"/>
        <v>0</v>
      </c>
      <c r="U29" s="432"/>
      <c r="V29" s="361"/>
      <c r="W29" s="361">
        <f t="shared" si="4"/>
        <v>0</v>
      </c>
      <c r="Y29" s="432"/>
      <c r="Z29" s="361"/>
      <c r="AA29" s="361">
        <f t="shared" si="5"/>
        <v>0</v>
      </c>
    </row>
    <row r="30" spans="1:27" s="397" customFormat="1" ht="33" customHeight="1">
      <c r="A30" s="390"/>
      <c r="B30" s="429"/>
      <c r="C30" s="358" t="s">
        <v>454</v>
      </c>
      <c r="D30" s="359" t="s">
        <v>6</v>
      </c>
      <c r="E30" s="432">
        <f>I30+M30+Q30+U30+Y30</f>
        <v>1</v>
      </c>
      <c r="F30" s="361">
        <v>1000</v>
      </c>
      <c r="G30" s="361">
        <f t="shared" si="7"/>
        <v>1000</v>
      </c>
      <c r="H30" s="359"/>
      <c r="I30" s="432"/>
      <c r="J30" s="361"/>
      <c r="K30" s="361">
        <f t="shared" si="1"/>
        <v>0</v>
      </c>
      <c r="M30" s="432"/>
      <c r="N30" s="361"/>
      <c r="O30" s="361">
        <f t="shared" si="2"/>
        <v>0</v>
      </c>
      <c r="Q30" s="432">
        <v>1</v>
      </c>
      <c r="R30" s="361">
        <f>F30</f>
        <v>1000</v>
      </c>
      <c r="S30" s="361">
        <f t="shared" si="3"/>
        <v>1000</v>
      </c>
      <c r="U30" s="432"/>
      <c r="V30" s="361"/>
      <c r="W30" s="361">
        <f t="shared" si="4"/>
        <v>0</v>
      </c>
      <c r="Y30" s="432"/>
      <c r="Z30" s="361"/>
      <c r="AA30" s="361">
        <f t="shared" si="5"/>
        <v>0</v>
      </c>
    </row>
    <row r="31" spans="1:27" s="397" customFormat="1" ht="33" customHeight="1">
      <c r="A31" s="390"/>
      <c r="B31" s="429"/>
      <c r="C31" s="358" t="s">
        <v>454</v>
      </c>
      <c r="D31" s="359" t="s">
        <v>6</v>
      </c>
      <c r="E31" s="432">
        <f>I31+M31+Q31+U31+Y31</f>
        <v>1</v>
      </c>
      <c r="F31" s="361">
        <v>250</v>
      </c>
      <c r="G31" s="361">
        <f t="shared" si="7"/>
        <v>250</v>
      </c>
      <c r="H31" s="359"/>
      <c r="I31" s="432"/>
      <c r="J31" s="361"/>
      <c r="K31" s="361">
        <f t="shared" si="1"/>
        <v>0</v>
      </c>
      <c r="M31" s="432"/>
      <c r="N31" s="361"/>
      <c r="O31" s="361">
        <f t="shared" si="2"/>
        <v>0</v>
      </c>
      <c r="Q31" s="432"/>
      <c r="R31" s="361"/>
      <c r="S31" s="361">
        <f t="shared" si="3"/>
        <v>0</v>
      </c>
      <c r="U31" s="432">
        <v>1</v>
      </c>
      <c r="V31" s="361">
        <f>F31</f>
        <v>250</v>
      </c>
      <c r="W31" s="361">
        <f t="shared" si="4"/>
        <v>250</v>
      </c>
      <c r="Y31" s="432"/>
      <c r="Z31" s="361"/>
      <c r="AA31" s="361">
        <f t="shared" si="5"/>
        <v>0</v>
      </c>
    </row>
    <row r="32" spans="1:27" s="397" customFormat="1" ht="33" customHeight="1">
      <c r="A32" s="390"/>
      <c r="B32" s="429"/>
      <c r="C32" s="358" t="s">
        <v>454</v>
      </c>
      <c r="D32" s="359" t="s">
        <v>6</v>
      </c>
      <c r="E32" s="432">
        <f>I32+M32+Q32+U32+Y32</f>
        <v>1</v>
      </c>
      <c r="F32" s="361">
        <v>250</v>
      </c>
      <c r="G32" s="361">
        <f t="shared" si="7"/>
        <v>250</v>
      </c>
      <c r="H32" s="359"/>
      <c r="I32" s="432"/>
      <c r="J32" s="361"/>
      <c r="K32" s="361">
        <f t="shared" si="1"/>
        <v>0</v>
      </c>
      <c r="M32" s="432"/>
      <c r="N32" s="361"/>
      <c r="O32" s="361">
        <f t="shared" si="2"/>
        <v>0</v>
      </c>
      <c r="Q32" s="432"/>
      <c r="R32" s="361"/>
      <c r="S32" s="361">
        <f t="shared" si="3"/>
        <v>0</v>
      </c>
      <c r="U32" s="432"/>
      <c r="V32" s="361"/>
      <c r="W32" s="361">
        <f t="shared" si="4"/>
        <v>0</v>
      </c>
      <c r="Y32" s="432">
        <v>1</v>
      </c>
      <c r="Z32" s="361">
        <f>F31</f>
        <v>250</v>
      </c>
      <c r="AA32" s="361">
        <f t="shared" si="5"/>
        <v>250</v>
      </c>
    </row>
    <row r="33" spans="1:27" s="397" customFormat="1">
      <c r="A33" s="390"/>
      <c r="B33" s="429"/>
      <c r="C33" s="358"/>
      <c r="D33" s="359"/>
      <c r="E33" s="432"/>
      <c r="F33" s="361"/>
      <c r="G33" s="361"/>
      <c r="H33" s="359"/>
      <c r="I33" s="432"/>
      <c r="J33" s="361"/>
      <c r="K33" s="361">
        <f t="shared" si="1"/>
        <v>0</v>
      </c>
      <c r="M33" s="432"/>
      <c r="N33" s="361"/>
      <c r="O33" s="361">
        <f t="shared" si="2"/>
        <v>0</v>
      </c>
      <c r="Q33" s="432"/>
      <c r="R33" s="361"/>
      <c r="S33" s="361">
        <f t="shared" si="3"/>
        <v>0</v>
      </c>
      <c r="U33" s="432"/>
      <c r="V33" s="361"/>
      <c r="W33" s="361">
        <f t="shared" si="4"/>
        <v>0</v>
      </c>
      <c r="Y33" s="432"/>
      <c r="Z33" s="361"/>
      <c r="AA33" s="361">
        <f t="shared" si="5"/>
        <v>0</v>
      </c>
    </row>
    <row r="34" spans="1:27" s="407" customFormat="1" ht="27.6">
      <c r="A34" s="437"/>
      <c r="B34" s="429" t="s">
        <v>1037</v>
      </c>
      <c r="C34" s="430" t="s">
        <v>1038</v>
      </c>
      <c r="D34" s="431"/>
      <c r="E34" s="434"/>
      <c r="F34" s="396"/>
      <c r="G34" s="396">
        <f>SUM(G35:G60)</f>
        <v>71915</v>
      </c>
      <c r="H34" s="431"/>
      <c r="I34" s="434"/>
      <c r="J34" s="396"/>
      <c r="K34" s="396">
        <f>SUM(K35:K60)</f>
        <v>15172</v>
      </c>
      <c r="M34" s="434"/>
      <c r="N34" s="396"/>
      <c r="O34" s="396">
        <f>SUM(O35:O60)</f>
        <v>11028</v>
      </c>
      <c r="Q34" s="434"/>
      <c r="R34" s="396"/>
      <c r="S34" s="396">
        <f>SUM(S35:S60)</f>
        <v>11391</v>
      </c>
      <c r="U34" s="434"/>
      <c r="V34" s="396"/>
      <c r="W34" s="396">
        <f>SUM(W35:W60)</f>
        <v>27987</v>
      </c>
      <c r="Y34" s="434"/>
      <c r="Z34" s="396"/>
      <c r="AA34" s="396">
        <f>SUM(AA35:AA60)</f>
        <v>6337</v>
      </c>
    </row>
    <row r="35" spans="1:27" s="397" customFormat="1">
      <c r="A35" s="390"/>
      <c r="B35" s="429"/>
      <c r="C35" s="358" t="s">
        <v>425</v>
      </c>
      <c r="D35" s="435" t="s">
        <v>398</v>
      </c>
      <c r="E35" s="432">
        <f t="shared" ref="E35:E57" si="8">I35+M35+Q35+U35+Y35</f>
        <v>22</v>
      </c>
      <c r="F35" s="361">
        <v>478</v>
      </c>
      <c r="G35" s="361">
        <f t="shared" si="6"/>
        <v>10516</v>
      </c>
      <c r="H35" s="359"/>
      <c r="I35" s="432">
        <v>6</v>
      </c>
      <c r="J35" s="361">
        <f>F35</f>
        <v>478</v>
      </c>
      <c r="K35" s="361">
        <f t="shared" si="1"/>
        <v>2868</v>
      </c>
      <c r="M35" s="432">
        <v>4</v>
      </c>
      <c r="N35" s="361">
        <f>F35</f>
        <v>478</v>
      </c>
      <c r="O35" s="361">
        <f t="shared" si="2"/>
        <v>1912</v>
      </c>
      <c r="Q35" s="432">
        <v>3</v>
      </c>
      <c r="R35" s="361">
        <f>F35</f>
        <v>478</v>
      </c>
      <c r="S35" s="361">
        <f t="shared" si="3"/>
        <v>1434</v>
      </c>
      <c r="U35" s="432">
        <v>7</v>
      </c>
      <c r="V35" s="361">
        <f>F35</f>
        <v>478</v>
      </c>
      <c r="W35" s="361">
        <f t="shared" si="4"/>
        <v>3346</v>
      </c>
      <c r="Y35" s="432">
        <v>2</v>
      </c>
      <c r="Z35" s="361">
        <f>F35</f>
        <v>478</v>
      </c>
      <c r="AA35" s="361">
        <f t="shared" si="5"/>
        <v>956</v>
      </c>
    </row>
    <row r="36" spans="1:27" s="397" customFormat="1">
      <c r="A36" s="390"/>
      <c r="B36" s="429"/>
      <c r="C36" s="358" t="s">
        <v>426</v>
      </c>
      <c r="D36" s="435" t="s">
        <v>398</v>
      </c>
      <c r="E36" s="432">
        <f t="shared" si="8"/>
        <v>13</v>
      </c>
      <c r="F36" s="361">
        <v>418</v>
      </c>
      <c r="G36" s="361">
        <f t="shared" si="6"/>
        <v>5434</v>
      </c>
      <c r="H36" s="359"/>
      <c r="I36" s="432">
        <v>5</v>
      </c>
      <c r="J36" s="361">
        <f>F36</f>
        <v>418</v>
      </c>
      <c r="K36" s="361">
        <f t="shared" si="1"/>
        <v>2090</v>
      </c>
      <c r="M36" s="432">
        <v>4</v>
      </c>
      <c r="N36" s="361">
        <f>F36</f>
        <v>418</v>
      </c>
      <c r="O36" s="361">
        <f t="shared" si="2"/>
        <v>1672</v>
      </c>
      <c r="Q36" s="432">
        <v>3</v>
      </c>
      <c r="R36" s="361">
        <f>F36</f>
        <v>418</v>
      </c>
      <c r="S36" s="361">
        <f t="shared" si="3"/>
        <v>1254</v>
      </c>
      <c r="U36" s="432">
        <v>1</v>
      </c>
      <c r="V36" s="361">
        <f>F36</f>
        <v>418</v>
      </c>
      <c r="W36" s="361">
        <f t="shared" si="4"/>
        <v>418</v>
      </c>
      <c r="Y36" s="432"/>
      <c r="Z36" s="361"/>
      <c r="AA36" s="361">
        <f t="shared" si="5"/>
        <v>0</v>
      </c>
    </row>
    <row r="37" spans="1:27" s="397" customFormat="1">
      <c r="A37" s="390"/>
      <c r="B37" s="429"/>
      <c r="C37" s="358" t="s">
        <v>427</v>
      </c>
      <c r="D37" s="435" t="s">
        <v>398</v>
      </c>
      <c r="E37" s="432">
        <f t="shared" si="8"/>
        <v>8</v>
      </c>
      <c r="F37" s="361">
        <v>1528</v>
      </c>
      <c r="G37" s="361">
        <f t="shared" si="6"/>
        <v>12224</v>
      </c>
      <c r="H37" s="359"/>
      <c r="I37" s="432">
        <v>5</v>
      </c>
      <c r="J37" s="361">
        <f>F37</f>
        <v>1528</v>
      </c>
      <c r="K37" s="361">
        <f t="shared" si="1"/>
        <v>7640</v>
      </c>
      <c r="M37" s="432"/>
      <c r="N37" s="361"/>
      <c r="O37" s="361">
        <f t="shared" si="2"/>
        <v>0</v>
      </c>
      <c r="Q37" s="432">
        <v>3</v>
      </c>
      <c r="R37" s="361">
        <f>F37</f>
        <v>1528</v>
      </c>
      <c r="S37" s="361">
        <f t="shared" si="3"/>
        <v>4584</v>
      </c>
      <c r="U37" s="432"/>
      <c r="V37" s="361"/>
      <c r="W37" s="361">
        <f t="shared" si="4"/>
        <v>0</v>
      </c>
      <c r="Y37" s="432"/>
      <c r="Z37" s="361"/>
      <c r="AA37" s="361">
        <f t="shared" si="5"/>
        <v>0</v>
      </c>
    </row>
    <row r="38" spans="1:27" s="397" customFormat="1">
      <c r="A38" s="390"/>
      <c r="B38" s="429"/>
      <c r="C38" s="358" t="s">
        <v>428</v>
      </c>
      <c r="D38" s="435" t="s">
        <v>398</v>
      </c>
      <c r="E38" s="432">
        <f t="shared" si="8"/>
        <v>1</v>
      </c>
      <c r="F38" s="361">
        <v>1987</v>
      </c>
      <c r="G38" s="361">
        <f t="shared" si="6"/>
        <v>1987</v>
      </c>
      <c r="H38" s="359"/>
      <c r="I38" s="432">
        <v>0</v>
      </c>
      <c r="J38" s="361">
        <f>F38</f>
        <v>1987</v>
      </c>
      <c r="K38" s="361">
        <f t="shared" si="1"/>
        <v>0</v>
      </c>
      <c r="M38" s="432">
        <v>0</v>
      </c>
      <c r="N38" s="361">
        <f>F38</f>
        <v>1987</v>
      </c>
      <c r="O38" s="361">
        <f t="shared" si="2"/>
        <v>0</v>
      </c>
      <c r="Q38" s="432">
        <v>1</v>
      </c>
      <c r="R38" s="361">
        <f>F38</f>
        <v>1987</v>
      </c>
      <c r="S38" s="361">
        <f t="shared" si="3"/>
        <v>1987</v>
      </c>
      <c r="U38" s="432"/>
      <c r="V38" s="361"/>
      <c r="W38" s="361">
        <f t="shared" si="4"/>
        <v>0</v>
      </c>
      <c r="Y38" s="432">
        <v>0</v>
      </c>
      <c r="Z38" s="361">
        <f>F37</f>
        <v>1528</v>
      </c>
      <c r="AA38" s="361">
        <f t="shared" si="5"/>
        <v>0</v>
      </c>
    </row>
    <row r="39" spans="1:27" s="397" customFormat="1">
      <c r="A39" s="390"/>
      <c r="B39" s="429"/>
      <c r="C39" s="358" t="s">
        <v>429</v>
      </c>
      <c r="D39" s="435" t="s">
        <v>398</v>
      </c>
      <c r="E39" s="432">
        <f t="shared" si="8"/>
        <v>9</v>
      </c>
      <c r="F39" s="361">
        <v>560</v>
      </c>
      <c r="G39" s="361">
        <f t="shared" si="6"/>
        <v>5040</v>
      </c>
      <c r="H39" s="359"/>
      <c r="I39" s="432"/>
      <c r="J39" s="361"/>
      <c r="K39" s="361">
        <f t="shared" si="1"/>
        <v>0</v>
      </c>
      <c r="M39" s="432">
        <v>4</v>
      </c>
      <c r="N39" s="361">
        <f>F39</f>
        <v>560</v>
      </c>
      <c r="O39" s="361">
        <f t="shared" si="2"/>
        <v>2240</v>
      </c>
      <c r="Q39" s="432">
        <v>2</v>
      </c>
      <c r="R39" s="361">
        <f>F39</f>
        <v>560</v>
      </c>
      <c r="S39" s="361">
        <f t="shared" si="3"/>
        <v>1120</v>
      </c>
      <c r="U39" s="432">
        <v>1</v>
      </c>
      <c r="V39" s="361">
        <f t="shared" ref="V39:V45" si="9">F39</f>
        <v>560</v>
      </c>
      <c r="W39" s="361">
        <f t="shared" si="4"/>
        <v>560</v>
      </c>
      <c r="Y39" s="432">
        <v>2</v>
      </c>
      <c r="Z39" s="361">
        <f>F39</f>
        <v>560</v>
      </c>
      <c r="AA39" s="361">
        <f t="shared" si="5"/>
        <v>1120</v>
      </c>
    </row>
    <row r="40" spans="1:27" s="397" customFormat="1">
      <c r="A40" s="390"/>
      <c r="B40" s="429"/>
      <c r="C40" s="358" t="s">
        <v>430</v>
      </c>
      <c r="D40" s="435" t="s">
        <v>398</v>
      </c>
      <c r="E40" s="432">
        <f t="shared" si="8"/>
        <v>5</v>
      </c>
      <c r="F40" s="361">
        <v>410</v>
      </c>
      <c r="G40" s="361">
        <f t="shared" si="6"/>
        <v>2050</v>
      </c>
      <c r="H40" s="359"/>
      <c r="I40" s="432"/>
      <c r="J40" s="361"/>
      <c r="K40" s="361">
        <f t="shared" si="1"/>
        <v>0</v>
      </c>
      <c r="M40" s="432"/>
      <c r="N40" s="361"/>
      <c r="O40" s="361">
        <f t="shared" si="2"/>
        <v>0</v>
      </c>
      <c r="Q40" s="432"/>
      <c r="R40" s="361"/>
      <c r="S40" s="361">
        <f t="shared" si="3"/>
        <v>0</v>
      </c>
      <c r="U40" s="432">
        <v>5</v>
      </c>
      <c r="V40" s="361">
        <f t="shared" si="9"/>
        <v>410</v>
      </c>
      <c r="W40" s="361">
        <f t="shared" si="4"/>
        <v>2050</v>
      </c>
      <c r="Y40" s="432"/>
      <c r="Z40" s="361"/>
      <c r="AA40" s="361">
        <f t="shared" si="5"/>
        <v>0</v>
      </c>
    </row>
    <row r="41" spans="1:27" s="397" customFormat="1">
      <c r="A41" s="390"/>
      <c r="B41" s="429"/>
      <c r="C41" s="358" t="s">
        <v>431</v>
      </c>
      <c r="D41" s="435" t="s">
        <v>398</v>
      </c>
      <c r="E41" s="432">
        <f t="shared" si="8"/>
        <v>1</v>
      </c>
      <c r="F41" s="361">
        <v>1414</v>
      </c>
      <c r="G41" s="361">
        <f t="shared" si="6"/>
        <v>1414</v>
      </c>
      <c r="H41" s="359"/>
      <c r="I41" s="432"/>
      <c r="J41" s="361"/>
      <c r="K41" s="361">
        <f t="shared" si="1"/>
        <v>0</v>
      </c>
      <c r="M41" s="432"/>
      <c r="N41" s="361"/>
      <c r="O41" s="361">
        <f t="shared" si="2"/>
        <v>0</v>
      </c>
      <c r="Q41" s="432"/>
      <c r="R41" s="361"/>
      <c r="S41" s="361">
        <f t="shared" si="3"/>
        <v>0</v>
      </c>
      <c r="U41" s="432">
        <v>1</v>
      </c>
      <c r="V41" s="361">
        <f t="shared" si="9"/>
        <v>1414</v>
      </c>
      <c r="W41" s="361">
        <f t="shared" si="4"/>
        <v>1414</v>
      </c>
      <c r="Y41" s="432"/>
      <c r="Z41" s="361"/>
      <c r="AA41" s="361">
        <f t="shared" si="5"/>
        <v>0</v>
      </c>
    </row>
    <row r="42" spans="1:27" s="397" customFormat="1">
      <c r="A42" s="390"/>
      <c r="B42" s="429"/>
      <c r="C42" s="358" t="s">
        <v>432</v>
      </c>
      <c r="D42" s="435" t="s">
        <v>398</v>
      </c>
      <c r="E42" s="432">
        <f t="shared" si="8"/>
        <v>7</v>
      </c>
      <c r="F42" s="361">
        <v>1158</v>
      </c>
      <c r="G42" s="361">
        <f t="shared" si="6"/>
        <v>8106</v>
      </c>
      <c r="H42" s="359"/>
      <c r="I42" s="432"/>
      <c r="J42" s="361"/>
      <c r="K42" s="361">
        <f t="shared" si="1"/>
        <v>0</v>
      </c>
      <c r="M42" s="432"/>
      <c r="N42" s="361"/>
      <c r="O42" s="361">
        <f t="shared" si="2"/>
        <v>0</v>
      </c>
      <c r="Q42" s="432"/>
      <c r="R42" s="361"/>
      <c r="S42" s="361">
        <f t="shared" si="3"/>
        <v>0</v>
      </c>
      <c r="U42" s="432">
        <v>7</v>
      </c>
      <c r="V42" s="361">
        <f t="shared" si="9"/>
        <v>1158</v>
      </c>
      <c r="W42" s="361">
        <f t="shared" si="4"/>
        <v>8106</v>
      </c>
      <c r="Y42" s="432"/>
      <c r="Z42" s="361"/>
      <c r="AA42" s="361">
        <f t="shared" si="5"/>
        <v>0</v>
      </c>
    </row>
    <row r="43" spans="1:27" s="397" customFormat="1">
      <c r="A43" s="390"/>
      <c r="B43" s="429"/>
      <c r="C43" s="358" t="s">
        <v>433</v>
      </c>
      <c r="D43" s="435" t="s">
        <v>398</v>
      </c>
      <c r="E43" s="432">
        <f t="shared" si="8"/>
        <v>2</v>
      </c>
      <c r="F43" s="361">
        <v>2215</v>
      </c>
      <c r="G43" s="361">
        <f t="shared" si="6"/>
        <v>4430</v>
      </c>
      <c r="H43" s="359"/>
      <c r="I43" s="432">
        <v>1</v>
      </c>
      <c r="J43" s="361">
        <f>F43</f>
        <v>2215</v>
      </c>
      <c r="K43" s="361">
        <f t="shared" si="1"/>
        <v>2215</v>
      </c>
      <c r="M43" s="432"/>
      <c r="N43" s="361"/>
      <c r="O43" s="361">
        <f t="shared" si="2"/>
        <v>0</v>
      </c>
      <c r="Q43" s="432"/>
      <c r="R43" s="361"/>
      <c r="S43" s="361">
        <f t="shared" si="3"/>
        <v>0</v>
      </c>
      <c r="U43" s="432">
        <v>1</v>
      </c>
      <c r="V43" s="361">
        <f t="shared" si="9"/>
        <v>2215</v>
      </c>
      <c r="W43" s="361">
        <f t="shared" si="4"/>
        <v>2215</v>
      </c>
      <c r="Y43" s="432"/>
      <c r="Z43" s="361"/>
      <c r="AA43" s="361">
        <f t="shared" si="5"/>
        <v>0</v>
      </c>
    </row>
    <row r="44" spans="1:27" s="397" customFormat="1">
      <c r="A44" s="390"/>
      <c r="B44" s="429"/>
      <c r="C44" s="358" t="s">
        <v>434</v>
      </c>
      <c r="D44" s="435" t="s">
        <v>398</v>
      </c>
      <c r="E44" s="432">
        <f t="shared" si="8"/>
        <v>2</v>
      </c>
      <c r="F44" s="361">
        <v>2215</v>
      </c>
      <c r="G44" s="361">
        <f t="shared" si="6"/>
        <v>4430</v>
      </c>
      <c r="H44" s="359"/>
      <c r="I44" s="432"/>
      <c r="J44" s="361"/>
      <c r="K44" s="361">
        <f t="shared" si="1"/>
        <v>0</v>
      </c>
      <c r="M44" s="432"/>
      <c r="N44" s="361"/>
      <c r="O44" s="361">
        <f t="shared" si="2"/>
        <v>0</v>
      </c>
      <c r="Q44" s="432"/>
      <c r="R44" s="361"/>
      <c r="S44" s="361">
        <f t="shared" si="3"/>
        <v>0</v>
      </c>
      <c r="U44" s="432">
        <v>2</v>
      </c>
      <c r="V44" s="361">
        <f t="shared" si="9"/>
        <v>2215</v>
      </c>
      <c r="W44" s="361">
        <f t="shared" si="4"/>
        <v>4430</v>
      </c>
      <c r="Y44" s="432"/>
      <c r="Z44" s="361"/>
      <c r="AA44" s="361">
        <f t="shared" si="5"/>
        <v>0</v>
      </c>
    </row>
    <row r="45" spans="1:27" s="397" customFormat="1">
      <c r="A45" s="390"/>
      <c r="B45" s="429"/>
      <c r="C45" s="358" t="s">
        <v>1039</v>
      </c>
      <c r="D45" s="435" t="s">
        <v>398</v>
      </c>
      <c r="E45" s="432">
        <f t="shared" si="8"/>
        <v>1</v>
      </c>
      <c r="F45" s="361">
        <v>359</v>
      </c>
      <c r="G45" s="361">
        <f t="shared" si="6"/>
        <v>359</v>
      </c>
      <c r="H45" s="359"/>
      <c r="I45" s="432">
        <v>1</v>
      </c>
      <c r="J45" s="361">
        <f>F45</f>
        <v>359</v>
      </c>
      <c r="K45" s="361">
        <f t="shared" si="1"/>
        <v>359</v>
      </c>
      <c r="M45" s="432"/>
      <c r="N45" s="361"/>
      <c r="O45" s="361">
        <f t="shared" si="2"/>
        <v>0</v>
      </c>
      <c r="Q45" s="432"/>
      <c r="R45" s="361"/>
      <c r="S45" s="361">
        <f t="shared" si="3"/>
        <v>0</v>
      </c>
      <c r="U45" s="432">
        <v>0</v>
      </c>
      <c r="V45" s="361">
        <f t="shared" si="9"/>
        <v>359</v>
      </c>
      <c r="W45" s="361">
        <f t="shared" si="4"/>
        <v>0</v>
      </c>
      <c r="Y45" s="432"/>
      <c r="Z45" s="361"/>
      <c r="AA45" s="361">
        <f t="shared" si="5"/>
        <v>0</v>
      </c>
    </row>
    <row r="46" spans="1:27" s="397" customFormat="1">
      <c r="A46" s="390"/>
      <c r="B46" s="429"/>
      <c r="C46" s="358" t="s">
        <v>1040</v>
      </c>
      <c r="D46" s="435" t="s">
        <v>398</v>
      </c>
      <c r="E46" s="432">
        <f t="shared" si="8"/>
        <v>2</v>
      </c>
      <c r="F46" s="361">
        <v>252</v>
      </c>
      <c r="G46" s="361">
        <f t="shared" si="6"/>
        <v>504</v>
      </c>
      <c r="H46" s="359"/>
      <c r="I46" s="432"/>
      <c r="J46" s="361"/>
      <c r="K46" s="361">
        <f t="shared" si="1"/>
        <v>0</v>
      </c>
      <c r="M46" s="432"/>
      <c r="N46" s="361"/>
      <c r="O46" s="361">
        <f t="shared" si="2"/>
        <v>0</v>
      </c>
      <c r="Q46" s="432">
        <v>2</v>
      </c>
      <c r="R46" s="361">
        <f>F46</f>
        <v>252</v>
      </c>
      <c r="S46" s="361">
        <f t="shared" si="3"/>
        <v>504</v>
      </c>
      <c r="U46" s="432"/>
      <c r="V46" s="361"/>
      <c r="W46" s="361">
        <f t="shared" si="4"/>
        <v>0</v>
      </c>
      <c r="Y46" s="432"/>
      <c r="Z46" s="361"/>
      <c r="AA46" s="361">
        <f t="shared" si="5"/>
        <v>0</v>
      </c>
    </row>
    <row r="47" spans="1:27" s="397" customFormat="1">
      <c r="A47" s="390"/>
      <c r="B47" s="429"/>
      <c r="C47" s="358" t="s">
        <v>1041</v>
      </c>
      <c r="D47" s="435" t="s">
        <v>398</v>
      </c>
      <c r="E47" s="432">
        <f t="shared" si="8"/>
        <v>1</v>
      </c>
      <c r="F47" s="361">
        <v>295</v>
      </c>
      <c r="G47" s="361">
        <f t="shared" si="6"/>
        <v>295</v>
      </c>
      <c r="H47" s="359"/>
      <c r="I47" s="432"/>
      <c r="J47" s="361"/>
      <c r="K47" s="361">
        <f t="shared" si="1"/>
        <v>0</v>
      </c>
      <c r="M47" s="432"/>
      <c r="N47" s="361"/>
      <c r="O47" s="361">
        <f t="shared" si="2"/>
        <v>0</v>
      </c>
      <c r="Q47" s="432">
        <v>1</v>
      </c>
      <c r="R47" s="361">
        <f>F47</f>
        <v>295</v>
      </c>
      <c r="S47" s="361">
        <f t="shared" si="3"/>
        <v>295</v>
      </c>
      <c r="U47" s="432"/>
      <c r="V47" s="361"/>
      <c r="W47" s="361">
        <f t="shared" si="4"/>
        <v>0</v>
      </c>
      <c r="Y47" s="432"/>
      <c r="Z47" s="361"/>
      <c r="AA47" s="361">
        <f t="shared" si="5"/>
        <v>0</v>
      </c>
    </row>
    <row r="48" spans="1:27" s="397" customFormat="1">
      <c r="A48" s="390"/>
      <c r="B48" s="429"/>
      <c r="C48" s="358" t="s">
        <v>435</v>
      </c>
      <c r="D48" s="435" t="s">
        <v>398</v>
      </c>
      <c r="E48" s="432">
        <f t="shared" si="8"/>
        <v>2</v>
      </c>
      <c r="F48" s="361">
        <v>1879</v>
      </c>
      <c r="G48" s="361">
        <f t="shared" si="6"/>
        <v>3758</v>
      </c>
      <c r="H48" s="359"/>
      <c r="I48" s="432"/>
      <c r="J48" s="361"/>
      <c r="K48" s="361">
        <f t="shared" si="1"/>
        <v>0</v>
      </c>
      <c r="M48" s="432"/>
      <c r="N48" s="361"/>
      <c r="O48" s="361">
        <f t="shared" si="2"/>
        <v>0</v>
      </c>
      <c r="Q48" s="432"/>
      <c r="R48" s="361"/>
      <c r="S48" s="361">
        <f t="shared" si="3"/>
        <v>0</v>
      </c>
      <c r="U48" s="432"/>
      <c r="V48" s="361"/>
      <c r="W48" s="361">
        <f t="shared" si="4"/>
        <v>0</v>
      </c>
      <c r="Y48" s="432">
        <v>2</v>
      </c>
      <c r="Z48" s="361">
        <f>F48</f>
        <v>1879</v>
      </c>
      <c r="AA48" s="361">
        <f t="shared" si="5"/>
        <v>3758</v>
      </c>
    </row>
    <row r="49" spans="1:27" s="397" customFormat="1">
      <c r="A49" s="390"/>
      <c r="B49" s="429"/>
      <c r="C49" s="358" t="s">
        <v>1042</v>
      </c>
      <c r="D49" s="435" t="s">
        <v>398</v>
      </c>
      <c r="E49" s="432">
        <f t="shared" si="8"/>
        <v>1</v>
      </c>
      <c r="F49" s="361">
        <v>314</v>
      </c>
      <c r="G49" s="361">
        <f t="shared" si="6"/>
        <v>314</v>
      </c>
      <c r="H49" s="359"/>
      <c r="I49" s="432"/>
      <c r="J49" s="361"/>
      <c r="K49" s="361">
        <f t="shared" si="1"/>
        <v>0</v>
      </c>
      <c r="M49" s="432"/>
      <c r="N49" s="361"/>
      <c r="O49" s="361">
        <f t="shared" si="2"/>
        <v>0</v>
      </c>
      <c r="Q49" s="432"/>
      <c r="R49" s="361"/>
      <c r="S49" s="361">
        <f t="shared" si="3"/>
        <v>0</v>
      </c>
      <c r="U49" s="432">
        <v>1</v>
      </c>
      <c r="V49" s="361">
        <f>F49</f>
        <v>314</v>
      </c>
      <c r="W49" s="361">
        <f t="shared" si="4"/>
        <v>314</v>
      </c>
      <c r="Y49" s="432"/>
      <c r="Z49" s="361"/>
      <c r="AA49" s="361">
        <f t="shared" si="5"/>
        <v>0</v>
      </c>
    </row>
    <row r="50" spans="1:27" s="397" customFormat="1">
      <c r="A50" s="390"/>
      <c r="B50" s="429"/>
      <c r="C50" s="358" t="s">
        <v>436</v>
      </c>
      <c r="D50" s="435" t="s">
        <v>398</v>
      </c>
      <c r="E50" s="432">
        <f t="shared" si="8"/>
        <v>1</v>
      </c>
      <c r="F50" s="361">
        <v>2802</v>
      </c>
      <c r="G50" s="361">
        <f t="shared" si="6"/>
        <v>2802</v>
      </c>
      <c r="H50" s="359"/>
      <c r="I50" s="432"/>
      <c r="J50" s="361"/>
      <c r="K50" s="361">
        <f t="shared" si="1"/>
        <v>0</v>
      </c>
      <c r="M50" s="432"/>
      <c r="N50" s="361"/>
      <c r="O50" s="361">
        <f t="shared" si="2"/>
        <v>0</v>
      </c>
      <c r="Q50" s="432"/>
      <c r="R50" s="361"/>
      <c r="S50" s="361">
        <f t="shared" si="3"/>
        <v>0</v>
      </c>
      <c r="U50" s="432">
        <v>1</v>
      </c>
      <c r="V50" s="361">
        <f>F50</f>
        <v>2802</v>
      </c>
      <c r="W50" s="361">
        <f t="shared" si="4"/>
        <v>2802</v>
      </c>
      <c r="Y50" s="432"/>
      <c r="Z50" s="361"/>
      <c r="AA50" s="361">
        <f t="shared" si="5"/>
        <v>0</v>
      </c>
    </row>
    <row r="51" spans="1:27" s="397" customFormat="1">
      <c r="A51" s="390"/>
      <c r="B51" s="429"/>
      <c r="C51" s="358" t="s">
        <v>437</v>
      </c>
      <c r="D51" s="435" t="s">
        <v>398</v>
      </c>
      <c r="E51" s="432">
        <f t="shared" si="8"/>
        <v>1</v>
      </c>
      <c r="F51" s="361">
        <v>1829</v>
      </c>
      <c r="G51" s="361">
        <f t="shared" si="6"/>
        <v>1829</v>
      </c>
      <c r="H51" s="359"/>
      <c r="I51" s="432"/>
      <c r="J51" s="361"/>
      <c r="K51" s="361">
        <f t="shared" si="1"/>
        <v>0</v>
      </c>
      <c r="M51" s="432"/>
      <c r="N51" s="361"/>
      <c r="O51" s="361">
        <f t="shared" si="2"/>
        <v>0</v>
      </c>
      <c r="Q51" s="432"/>
      <c r="R51" s="361"/>
      <c r="S51" s="361">
        <f t="shared" si="3"/>
        <v>0</v>
      </c>
      <c r="U51" s="432">
        <v>1</v>
      </c>
      <c r="V51" s="361">
        <f>F51</f>
        <v>1829</v>
      </c>
      <c r="W51" s="361">
        <f t="shared" si="4"/>
        <v>1829</v>
      </c>
      <c r="Y51" s="432"/>
      <c r="Z51" s="361"/>
      <c r="AA51" s="361">
        <f t="shared" si="5"/>
        <v>0</v>
      </c>
    </row>
    <row r="52" spans="1:27" s="397" customFormat="1">
      <c r="A52" s="390"/>
      <c r="B52" s="429"/>
      <c r="C52" s="358" t="s">
        <v>438</v>
      </c>
      <c r="D52" s="435" t="s">
        <v>398</v>
      </c>
      <c r="E52" s="432">
        <f t="shared" si="8"/>
        <v>2</v>
      </c>
      <c r="F52" s="361">
        <v>1210</v>
      </c>
      <c r="G52" s="361">
        <f t="shared" si="6"/>
        <v>2420</v>
      </c>
      <c r="H52" s="359"/>
      <c r="I52" s="432"/>
      <c r="J52" s="361"/>
      <c r="K52" s="361">
        <f t="shared" si="1"/>
        <v>0</v>
      </c>
      <c r="M52" s="432">
        <v>2</v>
      </c>
      <c r="N52" s="361">
        <f>F52</f>
        <v>1210</v>
      </c>
      <c r="O52" s="361">
        <f t="shared" si="2"/>
        <v>2420</v>
      </c>
      <c r="Q52" s="432"/>
      <c r="R52" s="361"/>
      <c r="S52" s="361">
        <f t="shared" si="3"/>
        <v>0</v>
      </c>
      <c r="U52" s="432"/>
      <c r="V52" s="361"/>
      <c r="W52" s="361">
        <f t="shared" si="4"/>
        <v>0</v>
      </c>
      <c r="Y52" s="432"/>
      <c r="Z52" s="361"/>
      <c r="AA52" s="361">
        <f t="shared" si="5"/>
        <v>0</v>
      </c>
    </row>
    <row r="53" spans="1:27" s="397" customFormat="1">
      <c r="A53" s="390"/>
      <c r="B53" s="429"/>
      <c r="C53" s="358" t="s">
        <v>439</v>
      </c>
      <c r="D53" s="435" t="s">
        <v>398</v>
      </c>
      <c r="E53" s="432">
        <f t="shared" si="8"/>
        <v>2</v>
      </c>
      <c r="F53" s="361">
        <v>1392</v>
      </c>
      <c r="G53" s="361">
        <f t="shared" si="6"/>
        <v>2784</v>
      </c>
      <c r="H53" s="359"/>
      <c r="I53" s="432"/>
      <c r="J53" s="361"/>
      <c r="K53" s="361">
        <f t="shared" si="1"/>
        <v>0</v>
      </c>
      <c r="M53" s="432">
        <v>2</v>
      </c>
      <c r="N53" s="361">
        <f>F53</f>
        <v>1392</v>
      </c>
      <c r="O53" s="361">
        <f t="shared" si="2"/>
        <v>2784</v>
      </c>
      <c r="Q53" s="432"/>
      <c r="R53" s="361"/>
      <c r="S53" s="361">
        <f t="shared" si="3"/>
        <v>0</v>
      </c>
      <c r="U53" s="432"/>
      <c r="V53" s="361"/>
      <c r="W53" s="361">
        <f t="shared" si="4"/>
        <v>0</v>
      </c>
      <c r="Y53" s="432"/>
      <c r="Z53" s="361"/>
      <c r="AA53" s="361">
        <f t="shared" si="5"/>
        <v>0</v>
      </c>
    </row>
    <row r="54" spans="1:27" s="397" customFormat="1">
      <c r="A54" s="390"/>
      <c r="B54" s="429"/>
      <c r="C54" s="358" t="s">
        <v>1043</v>
      </c>
      <c r="D54" s="435" t="s">
        <v>398</v>
      </c>
      <c r="E54" s="432">
        <f t="shared" si="8"/>
        <v>2</v>
      </c>
      <c r="F54" s="361">
        <v>60</v>
      </c>
      <c r="G54" s="361">
        <f t="shared" si="6"/>
        <v>120</v>
      </c>
      <c r="H54" s="359"/>
      <c r="I54" s="432"/>
      <c r="J54" s="361"/>
      <c r="K54" s="361">
        <f t="shared" si="1"/>
        <v>0</v>
      </c>
      <c r="M54" s="432"/>
      <c r="N54" s="361"/>
      <c r="O54" s="361">
        <f t="shared" si="2"/>
        <v>0</v>
      </c>
      <c r="Q54" s="432">
        <v>2</v>
      </c>
      <c r="R54" s="361">
        <f>F54</f>
        <v>60</v>
      </c>
      <c r="S54" s="361">
        <f t="shared" si="3"/>
        <v>120</v>
      </c>
      <c r="U54" s="432"/>
      <c r="V54" s="361"/>
      <c r="W54" s="361">
        <f t="shared" si="4"/>
        <v>0</v>
      </c>
      <c r="Y54" s="432"/>
      <c r="Z54" s="361"/>
      <c r="AA54" s="361">
        <f t="shared" si="5"/>
        <v>0</v>
      </c>
    </row>
    <row r="55" spans="1:27" s="397" customFormat="1">
      <c r="A55" s="390"/>
      <c r="B55" s="429"/>
      <c r="C55" s="358" t="s">
        <v>1044</v>
      </c>
      <c r="D55" s="435" t="s">
        <v>398</v>
      </c>
      <c r="E55" s="432">
        <f t="shared" si="8"/>
        <v>2</v>
      </c>
      <c r="F55" s="361">
        <v>152</v>
      </c>
      <c r="G55" s="361">
        <f t="shared" si="6"/>
        <v>304</v>
      </c>
      <c r="H55" s="359"/>
      <c r="I55" s="432"/>
      <c r="J55" s="361"/>
      <c r="K55" s="361">
        <f t="shared" si="1"/>
        <v>0</v>
      </c>
      <c r="M55" s="432"/>
      <c r="N55" s="361"/>
      <c r="O55" s="361">
        <f t="shared" si="2"/>
        <v>0</v>
      </c>
      <c r="Q55" s="432"/>
      <c r="R55" s="361"/>
      <c r="S55" s="361">
        <f t="shared" si="3"/>
        <v>0</v>
      </c>
      <c r="U55" s="432">
        <v>1</v>
      </c>
      <c r="V55" s="361">
        <f>F55</f>
        <v>152</v>
      </c>
      <c r="W55" s="361">
        <f t="shared" si="4"/>
        <v>152</v>
      </c>
      <c r="Y55" s="432">
        <v>1</v>
      </c>
      <c r="Z55" s="361">
        <f>F55</f>
        <v>152</v>
      </c>
      <c r="AA55" s="361">
        <f t="shared" si="5"/>
        <v>152</v>
      </c>
    </row>
    <row r="56" spans="1:27" s="397" customFormat="1">
      <c r="A56" s="390"/>
      <c r="B56" s="429"/>
      <c r="C56" s="358" t="s">
        <v>1045</v>
      </c>
      <c r="D56" s="435" t="s">
        <v>398</v>
      </c>
      <c r="E56" s="432">
        <f t="shared" si="8"/>
        <v>1</v>
      </c>
      <c r="F56" s="361">
        <v>93</v>
      </c>
      <c r="G56" s="361">
        <f t="shared" si="6"/>
        <v>93</v>
      </c>
      <c r="H56" s="359"/>
      <c r="I56" s="432"/>
      <c r="J56" s="361"/>
      <c r="K56" s="361">
        <f t="shared" si="1"/>
        <v>0</v>
      </c>
      <c r="M56" s="432"/>
      <c r="N56" s="361"/>
      <c r="O56" s="361">
        <f t="shared" si="2"/>
        <v>0</v>
      </c>
      <c r="Q56" s="432">
        <v>1</v>
      </c>
      <c r="R56" s="361">
        <f>F56</f>
        <v>93</v>
      </c>
      <c r="S56" s="361">
        <f t="shared" si="3"/>
        <v>93</v>
      </c>
      <c r="U56" s="432"/>
      <c r="V56" s="361"/>
      <c r="W56" s="361">
        <f t="shared" si="4"/>
        <v>0</v>
      </c>
      <c r="Y56" s="432"/>
      <c r="Z56" s="361"/>
      <c r="AA56" s="361">
        <f t="shared" si="5"/>
        <v>0</v>
      </c>
    </row>
    <row r="57" spans="1:27" s="397" customFormat="1">
      <c r="A57" s="390"/>
      <c r="B57" s="429"/>
      <c r="C57" s="358" t="s">
        <v>1046</v>
      </c>
      <c r="D57" s="435" t="s">
        <v>398</v>
      </c>
      <c r="E57" s="432">
        <f t="shared" si="8"/>
        <v>2</v>
      </c>
      <c r="F57" s="361">
        <v>351</v>
      </c>
      <c r="G57" s="361">
        <f t="shared" si="6"/>
        <v>702</v>
      </c>
      <c r="H57" s="359"/>
      <c r="I57" s="432"/>
      <c r="J57" s="361"/>
      <c r="K57" s="361">
        <f t="shared" si="1"/>
        <v>0</v>
      </c>
      <c r="M57" s="432"/>
      <c r="N57" s="361"/>
      <c r="O57" s="361">
        <f t="shared" si="2"/>
        <v>0</v>
      </c>
      <c r="Q57" s="432"/>
      <c r="R57" s="361"/>
      <c r="S57" s="361">
        <f t="shared" si="3"/>
        <v>0</v>
      </c>
      <c r="U57" s="432">
        <v>1</v>
      </c>
      <c r="V57" s="361">
        <f>F57</f>
        <v>351</v>
      </c>
      <c r="W57" s="361">
        <f t="shared" si="4"/>
        <v>351</v>
      </c>
      <c r="Y57" s="432">
        <v>1</v>
      </c>
      <c r="Z57" s="361">
        <f>F57</f>
        <v>351</v>
      </c>
      <c r="AA57" s="361">
        <f t="shared" si="5"/>
        <v>351</v>
      </c>
    </row>
    <row r="58" spans="1:27" s="397" customFormat="1">
      <c r="A58" s="390"/>
      <c r="B58" s="429"/>
      <c r="C58" s="358"/>
      <c r="D58" s="359"/>
      <c r="E58" s="432"/>
      <c r="F58" s="361"/>
      <c r="G58" s="361">
        <f t="shared" si="6"/>
        <v>0</v>
      </c>
      <c r="H58" s="359"/>
      <c r="I58" s="432"/>
      <c r="J58" s="361"/>
      <c r="K58" s="361">
        <f t="shared" si="1"/>
        <v>0</v>
      </c>
      <c r="M58" s="432"/>
      <c r="N58" s="361"/>
      <c r="O58" s="361">
        <f t="shared" si="2"/>
        <v>0</v>
      </c>
      <c r="Q58" s="432"/>
      <c r="R58" s="361"/>
      <c r="S58" s="361">
        <f t="shared" si="3"/>
        <v>0</v>
      </c>
      <c r="U58" s="432"/>
      <c r="V58" s="361"/>
      <c r="W58" s="361">
        <f t="shared" si="4"/>
        <v>0</v>
      </c>
      <c r="Y58" s="432"/>
      <c r="Z58" s="361"/>
      <c r="AA58" s="361">
        <f t="shared" si="5"/>
        <v>0</v>
      </c>
    </row>
    <row r="59" spans="1:27" s="397" customFormat="1">
      <c r="A59" s="390"/>
      <c r="B59" s="429"/>
      <c r="C59" s="358" t="s">
        <v>1047</v>
      </c>
      <c r="D59" s="359"/>
      <c r="E59" s="432"/>
      <c r="F59" s="361"/>
      <c r="G59" s="361">
        <f t="shared" si="6"/>
        <v>0</v>
      </c>
      <c r="H59" s="359"/>
      <c r="I59" s="432"/>
      <c r="J59" s="361"/>
      <c r="K59" s="361">
        <f t="shared" si="1"/>
        <v>0</v>
      </c>
      <c r="M59" s="432"/>
      <c r="N59" s="361"/>
      <c r="O59" s="361">
        <f t="shared" si="2"/>
        <v>0</v>
      </c>
      <c r="Q59" s="432"/>
      <c r="R59" s="361"/>
      <c r="S59" s="361">
        <f t="shared" si="3"/>
        <v>0</v>
      </c>
      <c r="U59" s="432"/>
      <c r="V59" s="361"/>
      <c r="W59" s="361">
        <f t="shared" si="4"/>
        <v>0</v>
      </c>
      <c r="Y59" s="432"/>
      <c r="Z59" s="361"/>
      <c r="AA59" s="361">
        <f t="shared" si="5"/>
        <v>0</v>
      </c>
    </row>
    <row r="60" spans="1:27" s="397" customFormat="1">
      <c r="A60" s="390"/>
      <c r="B60" s="429"/>
      <c r="C60" s="358"/>
      <c r="D60" s="359"/>
      <c r="E60" s="432"/>
      <c r="F60" s="361"/>
      <c r="G60" s="361">
        <f t="shared" si="6"/>
        <v>0</v>
      </c>
      <c r="H60" s="359"/>
      <c r="I60" s="432"/>
      <c r="J60" s="361"/>
      <c r="K60" s="361">
        <f t="shared" si="1"/>
        <v>0</v>
      </c>
      <c r="M60" s="432"/>
      <c r="N60" s="361"/>
      <c r="O60" s="361">
        <f t="shared" si="2"/>
        <v>0</v>
      </c>
      <c r="Q60" s="432"/>
      <c r="R60" s="361"/>
      <c r="S60" s="361">
        <f t="shared" si="3"/>
        <v>0</v>
      </c>
      <c r="U60" s="432"/>
      <c r="V60" s="361"/>
      <c r="W60" s="361">
        <f t="shared" si="4"/>
        <v>0</v>
      </c>
      <c r="Y60" s="432"/>
      <c r="Z60" s="361"/>
      <c r="AA60" s="361">
        <f t="shared" si="5"/>
        <v>0</v>
      </c>
    </row>
    <row r="61" spans="1:27" s="407" customFormat="1" ht="27.6">
      <c r="A61" s="437"/>
      <c r="B61" s="429" t="s">
        <v>1048</v>
      </c>
      <c r="C61" s="436" t="s">
        <v>442</v>
      </c>
      <c r="D61" s="438"/>
      <c r="E61" s="434"/>
      <c r="F61" s="439"/>
      <c r="G61" s="396">
        <f>SUM(G62:G71)</f>
        <v>59352</v>
      </c>
      <c r="H61" s="438"/>
      <c r="I61" s="440"/>
      <c r="J61" s="439"/>
      <c r="K61" s="396">
        <f>SUM(K62:K71)</f>
        <v>14844</v>
      </c>
      <c r="M61" s="440"/>
      <c r="N61" s="439"/>
      <c r="O61" s="396">
        <f>SUM(O62:O71)</f>
        <v>2408</v>
      </c>
      <c r="Q61" s="440"/>
      <c r="R61" s="439"/>
      <c r="S61" s="396">
        <f>SUM(S62:S71)</f>
        <v>18873</v>
      </c>
      <c r="U61" s="440"/>
      <c r="V61" s="439"/>
      <c r="W61" s="396">
        <f>SUM(W62:W71)</f>
        <v>17664</v>
      </c>
      <c r="Y61" s="440"/>
      <c r="Z61" s="439"/>
      <c r="AA61" s="396">
        <f>SUM(AA62:AA71)</f>
        <v>5563</v>
      </c>
    </row>
    <row r="62" spans="1:27" s="397" customFormat="1">
      <c r="A62" s="390"/>
      <c r="B62" s="429"/>
      <c r="C62" s="358" t="s">
        <v>443</v>
      </c>
      <c r="D62" s="359" t="s">
        <v>397</v>
      </c>
      <c r="E62" s="432">
        <f t="shared" ref="E62:E70" si="10">I62+M62+Q62+U62+Y62</f>
        <v>65</v>
      </c>
      <c r="F62" s="361">
        <v>46</v>
      </c>
      <c r="G62" s="361">
        <f t="shared" si="6"/>
        <v>2990</v>
      </c>
      <c r="H62" s="359"/>
      <c r="I62" s="432">
        <v>12</v>
      </c>
      <c r="J62" s="361">
        <f t="shared" ref="J62:J70" si="11">F62</f>
        <v>46</v>
      </c>
      <c r="K62" s="361">
        <f t="shared" si="1"/>
        <v>552</v>
      </c>
      <c r="M62" s="432">
        <v>8</v>
      </c>
      <c r="N62" s="361">
        <f>F62</f>
        <v>46</v>
      </c>
      <c r="O62" s="361">
        <f t="shared" si="2"/>
        <v>368</v>
      </c>
      <c r="Q62" s="432">
        <v>15</v>
      </c>
      <c r="R62" s="361">
        <f t="shared" ref="R62:R70" si="12">F62</f>
        <v>46</v>
      </c>
      <c r="S62" s="361">
        <f t="shared" si="3"/>
        <v>690</v>
      </c>
      <c r="U62" s="432">
        <v>26</v>
      </c>
      <c r="V62" s="361">
        <f t="shared" ref="V62:V70" si="13">F62</f>
        <v>46</v>
      </c>
      <c r="W62" s="361">
        <f t="shared" si="4"/>
        <v>1196</v>
      </c>
      <c r="Y62" s="432">
        <v>4</v>
      </c>
      <c r="Z62" s="361">
        <f>F62</f>
        <v>46</v>
      </c>
      <c r="AA62" s="361">
        <f>Y62*Z62</f>
        <v>184</v>
      </c>
    </row>
    <row r="63" spans="1:27" s="397" customFormat="1">
      <c r="A63" s="390"/>
      <c r="B63" s="429"/>
      <c r="C63" s="358" t="s">
        <v>444</v>
      </c>
      <c r="D63" s="359" t="s">
        <v>397</v>
      </c>
      <c r="E63" s="432">
        <f t="shared" si="10"/>
        <v>378</v>
      </c>
      <c r="F63" s="361">
        <v>51</v>
      </c>
      <c r="G63" s="361">
        <f t="shared" si="6"/>
        <v>19278</v>
      </c>
      <c r="H63" s="359"/>
      <c r="I63" s="432">
        <f>32+30+24</f>
        <v>86</v>
      </c>
      <c r="J63" s="361">
        <f t="shared" si="11"/>
        <v>51</v>
      </c>
      <c r="K63" s="361">
        <f t="shared" si="1"/>
        <v>4386</v>
      </c>
      <c r="M63" s="432">
        <v>40</v>
      </c>
      <c r="N63" s="361">
        <f>F63</f>
        <v>51</v>
      </c>
      <c r="O63" s="361">
        <f t="shared" si="2"/>
        <v>2040</v>
      </c>
      <c r="Q63" s="432">
        <f>90+23+12</f>
        <v>125</v>
      </c>
      <c r="R63" s="361">
        <f t="shared" si="12"/>
        <v>51</v>
      </c>
      <c r="S63" s="361">
        <f t="shared" si="3"/>
        <v>6375</v>
      </c>
      <c r="U63" s="432">
        <f>48+40</f>
        <v>88</v>
      </c>
      <c r="V63" s="361">
        <f t="shared" si="13"/>
        <v>51</v>
      </c>
      <c r="W63" s="361">
        <f t="shared" si="4"/>
        <v>4488</v>
      </c>
      <c r="Y63" s="432">
        <f>15+24</f>
        <v>39</v>
      </c>
      <c r="Z63" s="361">
        <f>F63</f>
        <v>51</v>
      </c>
      <c r="AA63" s="361">
        <f>Y63*Z63</f>
        <v>1989</v>
      </c>
    </row>
    <row r="64" spans="1:27" s="397" customFormat="1">
      <c r="A64" s="390"/>
      <c r="B64" s="429"/>
      <c r="C64" s="358" t="s">
        <v>445</v>
      </c>
      <c r="D64" s="359" t="s">
        <v>397</v>
      </c>
      <c r="E64" s="432">
        <f t="shared" si="10"/>
        <v>127</v>
      </c>
      <c r="F64" s="361">
        <v>56</v>
      </c>
      <c r="G64" s="361">
        <f t="shared" si="6"/>
        <v>7112</v>
      </c>
      <c r="H64" s="359"/>
      <c r="I64" s="432">
        <v>30</v>
      </c>
      <c r="J64" s="361">
        <f t="shared" si="11"/>
        <v>56</v>
      </c>
      <c r="K64" s="361">
        <f t="shared" si="1"/>
        <v>1680</v>
      </c>
      <c r="M64" s="432"/>
      <c r="N64" s="361"/>
      <c r="O64" s="361">
        <f t="shared" si="2"/>
        <v>0</v>
      </c>
      <c r="Q64" s="432">
        <v>20</v>
      </c>
      <c r="R64" s="361">
        <f t="shared" si="12"/>
        <v>56</v>
      </c>
      <c r="S64" s="361">
        <f t="shared" si="3"/>
        <v>1120</v>
      </c>
      <c r="U64" s="432">
        <v>47</v>
      </c>
      <c r="V64" s="361">
        <f t="shared" si="13"/>
        <v>56</v>
      </c>
      <c r="W64" s="361">
        <f t="shared" si="4"/>
        <v>2632</v>
      </c>
      <c r="Y64" s="432">
        <v>30</v>
      </c>
      <c r="Z64" s="361">
        <f>F64</f>
        <v>56</v>
      </c>
      <c r="AA64" s="361">
        <f t="shared" si="5"/>
        <v>1680</v>
      </c>
    </row>
    <row r="65" spans="1:27" s="397" customFormat="1">
      <c r="A65" s="390"/>
      <c r="B65" s="429"/>
      <c r="C65" s="358" t="s">
        <v>1049</v>
      </c>
      <c r="D65" s="359" t="s">
        <v>397</v>
      </c>
      <c r="E65" s="432">
        <f t="shared" si="10"/>
        <v>84</v>
      </c>
      <c r="F65" s="361">
        <v>59</v>
      </c>
      <c r="G65" s="361">
        <f t="shared" si="6"/>
        <v>4956</v>
      </c>
      <c r="H65" s="359"/>
      <c r="I65" s="432">
        <v>14</v>
      </c>
      <c r="J65" s="361">
        <f t="shared" si="11"/>
        <v>59</v>
      </c>
      <c r="K65" s="361">
        <f t="shared" si="1"/>
        <v>826</v>
      </c>
      <c r="M65" s="432"/>
      <c r="N65" s="361"/>
      <c r="O65" s="361">
        <f t="shared" si="2"/>
        <v>0</v>
      </c>
      <c r="Q65" s="432">
        <v>50</v>
      </c>
      <c r="R65" s="361">
        <f t="shared" si="12"/>
        <v>59</v>
      </c>
      <c r="S65" s="361">
        <f t="shared" si="3"/>
        <v>2950</v>
      </c>
      <c r="U65" s="432">
        <v>20</v>
      </c>
      <c r="V65" s="361">
        <f t="shared" si="13"/>
        <v>59</v>
      </c>
      <c r="W65" s="361">
        <f t="shared" si="4"/>
        <v>1180</v>
      </c>
      <c r="Y65" s="432"/>
      <c r="Z65" s="361"/>
      <c r="AA65" s="361"/>
    </row>
    <row r="66" spans="1:27" s="397" customFormat="1">
      <c r="A66" s="390"/>
      <c r="B66" s="429"/>
      <c r="C66" s="358" t="s">
        <v>446</v>
      </c>
      <c r="D66" s="359" t="s">
        <v>397</v>
      </c>
      <c r="E66" s="432">
        <f t="shared" si="10"/>
        <v>152</v>
      </c>
      <c r="F66" s="361">
        <v>67</v>
      </c>
      <c r="G66" s="361">
        <f t="shared" si="6"/>
        <v>10184</v>
      </c>
      <c r="H66" s="359"/>
      <c r="I66" s="432">
        <v>50</v>
      </c>
      <c r="J66" s="361">
        <f t="shared" si="11"/>
        <v>67</v>
      </c>
      <c r="K66" s="361">
        <f t="shared" si="1"/>
        <v>3350</v>
      </c>
      <c r="M66" s="432"/>
      <c r="N66" s="361"/>
      <c r="O66" s="361">
        <f t="shared" si="2"/>
        <v>0</v>
      </c>
      <c r="Q66" s="432">
        <v>40</v>
      </c>
      <c r="R66" s="361">
        <f t="shared" si="12"/>
        <v>67</v>
      </c>
      <c r="S66" s="361">
        <f t="shared" si="3"/>
        <v>2680</v>
      </c>
      <c r="U66" s="432">
        <v>62</v>
      </c>
      <c r="V66" s="361">
        <f t="shared" si="13"/>
        <v>67</v>
      </c>
      <c r="W66" s="361">
        <f t="shared" si="4"/>
        <v>4154</v>
      </c>
      <c r="Y66" s="432"/>
      <c r="Z66" s="361"/>
      <c r="AA66" s="361"/>
    </row>
    <row r="67" spans="1:27" s="397" customFormat="1">
      <c r="A67" s="390"/>
      <c r="B67" s="429"/>
      <c r="C67" s="358" t="s">
        <v>414</v>
      </c>
      <c r="D67" s="359" t="s">
        <v>397</v>
      </c>
      <c r="E67" s="432">
        <f t="shared" si="10"/>
        <v>342</v>
      </c>
      <c r="F67" s="361">
        <v>36</v>
      </c>
      <c r="G67" s="361">
        <f t="shared" si="6"/>
        <v>12312</v>
      </c>
      <c r="H67" s="359"/>
      <c r="I67" s="432">
        <v>95</v>
      </c>
      <c r="J67" s="361">
        <f t="shared" si="11"/>
        <v>36</v>
      </c>
      <c r="K67" s="361">
        <f t="shared" si="1"/>
        <v>3420</v>
      </c>
      <c r="M67" s="432"/>
      <c r="N67" s="361"/>
      <c r="O67" s="361">
        <f t="shared" si="2"/>
        <v>0</v>
      </c>
      <c r="Q67" s="432">
        <f>10+88+25</f>
        <v>123</v>
      </c>
      <c r="R67" s="361">
        <f t="shared" si="12"/>
        <v>36</v>
      </c>
      <c r="S67" s="361">
        <f t="shared" si="3"/>
        <v>4428</v>
      </c>
      <c r="U67" s="432">
        <v>94</v>
      </c>
      <c r="V67" s="361">
        <f t="shared" si="13"/>
        <v>36</v>
      </c>
      <c r="W67" s="361">
        <f t="shared" si="4"/>
        <v>3384</v>
      </c>
      <c r="Y67" s="432">
        <v>30</v>
      </c>
      <c r="Z67" s="361">
        <f>F67</f>
        <v>36</v>
      </c>
      <c r="AA67" s="361">
        <f t="shared" si="5"/>
        <v>1080</v>
      </c>
    </row>
    <row r="68" spans="1:27" s="397" customFormat="1">
      <c r="A68" s="390"/>
      <c r="B68" s="429"/>
      <c r="C68" s="358" t="s">
        <v>447</v>
      </c>
      <c r="D68" s="359" t="s">
        <v>398</v>
      </c>
      <c r="E68" s="432">
        <f t="shared" si="10"/>
        <v>8</v>
      </c>
      <c r="F68" s="361">
        <v>69</v>
      </c>
      <c r="G68" s="361">
        <f t="shared" si="6"/>
        <v>552</v>
      </c>
      <c r="H68" s="359"/>
      <c r="I68" s="432">
        <v>2</v>
      </c>
      <c r="J68" s="361">
        <f t="shared" si="11"/>
        <v>69</v>
      </c>
      <c r="K68" s="361">
        <f t="shared" si="1"/>
        <v>138</v>
      </c>
      <c r="M68" s="432"/>
      <c r="N68" s="361"/>
      <c r="O68" s="361">
        <f t="shared" si="2"/>
        <v>0</v>
      </c>
      <c r="Q68" s="432">
        <v>2</v>
      </c>
      <c r="R68" s="361">
        <f t="shared" si="12"/>
        <v>69</v>
      </c>
      <c r="S68" s="361">
        <f t="shared" si="3"/>
        <v>138</v>
      </c>
      <c r="U68" s="432">
        <v>2</v>
      </c>
      <c r="V68" s="361">
        <f t="shared" si="13"/>
        <v>69</v>
      </c>
      <c r="W68" s="361">
        <f t="shared" si="4"/>
        <v>138</v>
      </c>
      <c r="Y68" s="432">
        <v>2</v>
      </c>
      <c r="Z68" s="361">
        <f>F68</f>
        <v>69</v>
      </c>
      <c r="AA68" s="361">
        <f t="shared" si="5"/>
        <v>138</v>
      </c>
    </row>
    <row r="69" spans="1:27" s="397" customFormat="1">
      <c r="A69" s="390"/>
      <c r="B69" s="429"/>
      <c r="C69" s="358" t="s">
        <v>675</v>
      </c>
      <c r="D69" s="359" t="s">
        <v>398</v>
      </c>
      <c r="E69" s="432">
        <f t="shared" si="10"/>
        <v>4</v>
      </c>
      <c r="F69" s="361">
        <v>290</v>
      </c>
      <c r="G69" s="361">
        <f t="shared" si="6"/>
        <v>1160</v>
      </c>
      <c r="H69" s="359"/>
      <c r="I69" s="432">
        <v>1</v>
      </c>
      <c r="J69" s="361">
        <f t="shared" si="11"/>
        <v>290</v>
      </c>
      <c r="K69" s="361">
        <f t="shared" si="1"/>
        <v>290</v>
      </c>
      <c r="M69" s="432"/>
      <c r="N69" s="361"/>
      <c r="O69" s="361">
        <f t="shared" si="2"/>
        <v>0</v>
      </c>
      <c r="Q69" s="432">
        <v>1</v>
      </c>
      <c r="R69" s="361">
        <f t="shared" si="12"/>
        <v>290</v>
      </c>
      <c r="S69" s="361">
        <f t="shared" si="3"/>
        <v>290</v>
      </c>
      <c r="U69" s="432">
        <v>1</v>
      </c>
      <c r="V69" s="361">
        <f t="shared" si="13"/>
        <v>290</v>
      </c>
      <c r="W69" s="361">
        <f t="shared" si="4"/>
        <v>290</v>
      </c>
      <c r="Y69" s="432">
        <v>1</v>
      </c>
      <c r="Z69" s="361">
        <f>F69</f>
        <v>290</v>
      </c>
      <c r="AA69" s="361">
        <f t="shared" si="5"/>
        <v>290</v>
      </c>
    </row>
    <row r="70" spans="1:27" s="397" customFormat="1">
      <c r="A70" s="390"/>
      <c r="B70" s="429"/>
      <c r="C70" s="358" t="s">
        <v>448</v>
      </c>
      <c r="D70" s="359" t="s">
        <v>398</v>
      </c>
      <c r="E70" s="432">
        <f t="shared" si="10"/>
        <v>4</v>
      </c>
      <c r="F70" s="361">
        <v>202</v>
      </c>
      <c r="G70" s="361">
        <f t="shared" si="6"/>
        <v>808</v>
      </c>
      <c r="H70" s="359"/>
      <c r="I70" s="432">
        <v>1</v>
      </c>
      <c r="J70" s="361">
        <f t="shared" si="11"/>
        <v>202</v>
      </c>
      <c r="K70" s="361">
        <f t="shared" si="1"/>
        <v>202</v>
      </c>
      <c r="M70" s="432"/>
      <c r="N70" s="361"/>
      <c r="O70" s="361">
        <f t="shared" si="2"/>
        <v>0</v>
      </c>
      <c r="Q70" s="432">
        <v>1</v>
      </c>
      <c r="R70" s="361">
        <f t="shared" si="12"/>
        <v>202</v>
      </c>
      <c r="S70" s="361">
        <f t="shared" si="3"/>
        <v>202</v>
      </c>
      <c r="U70" s="432">
        <v>1</v>
      </c>
      <c r="V70" s="361">
        <f t="shared" si="13"/>
        <v>202</v>
      </c>
      <c r="W70" s="361">
        <f t="shared" si="4"/>
        <v>202</v>
      </c>
      <c r="Y70" s="432">
        <v>1</v>
      </c>
      <c r="Z70" s="361">
        <f>F70</f>
        <v>202</v>
      </c>
      <c r="AA70" s="361">
        <f t="shared" si="5"/>
        <v>202</v>
      </c>
    </row>
    <row r="71" spans="1:27" s="397" customFormat="1">
      <c r="A71" s="390"/>
      <c r="B71" s="429"/>
      <c r="C71" s="358"/>
      <c r="D71" s="359"/>
      <c r="E71" s="432"/>
      <c r="F71" s="361"/>
      <c r="G71" s="361">
        <f t="shared" si="6"/>
        <v>0</v>
      </c>
      <c r="H71" s="359"/>
      <c r="I71" s="432"/>
      <c r="J71" s="361"/>
      <c r="K71" s="361">
        <f t="shared" si="1"/>
        <v>0</v>
      </c>
      <c r="M71" s="432"/>
      <c r="N71" s="361"/>
      <c r="O71" s="361">
        <f t="shared" si="2"/>
        <v>0</v>
      </c>
      <c r="Q71" s="432"/>
      <c r="R71" s="361"/>
      <c r="S71" s="361">
        <f t="shared" si="3"/>
        <v>0</v>
      </c>
      <c r="U71" s="432"/>
      <c r="V71" s="361"/>
      <c r="W71" s="361">
        <f t="shared" si="4"/>
        <v>0</v>
      </c>
      <c r="Y71" s="432"/>
      <c r="Z71" s="361"/>
      <c r="AA71" s="361">
        <f t="shared" si="5"/>
        <v>0</v>
      </c>
    </row>
    <row r="72" spans="1:27" s="407" customFormat="1" ht="27.6">
      <c r="A72" s="437"/>
      <c r="B72" s="429" t="s">
        <v>979</v>
      </c>
      <c r="C72" s="436" t="s">
        <v>449</v>
      </c>
      <c r="D72" s="438"/>
      <c r="E72" s="434"/>
      <c r="F72" s="439"/>
      <c r="G72" s="396">
        <f>SUM(G73:G77)</f>
        <v>9106</v>
      </c>
      <c r="H72" s="438"/>
      <c r="I72" s="440"/>
      <c r="J72" s="439"/>
      <c r="K72" s="396">
        <f>SUM(K73:K77)</f>
        <v>1637</v>
      </c>
      <c r="M72" s="440"/>
      <c r="N72" s="439"/>
      <c r="O72" s="396">
        <f>SUM(O73:O77)</f>
        <v>1831</v>
      </c>
      <c r="Q72" s="440"/>
      <c r="R72" s="439"/>
      <c r="S72" s="396">
        <f>SUM(S73:S77)</f>
        <v>1003</v>
      </c>
      <c r="U72" s="440"/>
      <c r="V72" s="439"/>
      <c r="W72" s="396">
        <f>SUM(W73:W77)</f>
        <v>3288</v>
      </c>
      <c r="Y72" s="440"/>
      <c r="Z72" s="439"/>
      <c r="AA72" s="396">
        <f>SUM(AA73:AA77)</f>
        <v>1347</v>
      </c>
    </row>
    <row r="73" spans="1:27" s="397" customFormat="1">
      <c r="A73" s="390"/>
      <c r="B73" s="429"/>
      <c r="C73" s="358" t="s">
        <v>450</v>
      </c>
      <c r="D73" s="359" t="s">
        <v>397</v>
      </c>
      <c r="E73" s="432">
        <f>I73+M73+Q73+U73+Y73</f>
        <v>103</v>
      </c>
      <c r="F73" s="361">
        <v>43</v>
      </c>
      <c r="G73" s="361">
        <f t="shared" si="6"/>
        <v>4429</v>
      </c>
      <c r="H73" s="359"/>
      <c r="I73" s="432">
        <v>12</v>
      </c>
      <c r="J73" s="361">
        <f>F73</f>
        <v>43</v>
      </c>
      <c r="K73" s="361">
        <f t="shared" ref="K73:K75" si="14">I73*J73</f>
        <v>516</v>
      </c>
      <c r="M73" s="432">
        <v>30</v>
      </c>
      <c r="N73" s="361">
        <f>F73</f>
        <v>43</v>
      </c>
      <c r="O73" s="361">
        <f t="shared" ref="O73:O75" si="15">M73*N73</f>
        <v>1290</v>
      </c>
      <c r="Q73" s="432">
        <v>4</v>
      </c>
      <c r="R73" s="361">
        <f>F73</f>
        <v>43</v>
      </c>
      <c r="S73" s="361">
        <f t="shared" ref="S73:S75" si="16">Q73*R73</f>
        <v>172</v>
      </c>
      <c r="U73" s="432">
        <v>45</v>
      </c>
      <c r="V73" s="361">
        <f>F73</f>
        <v>43</v>
      </c>
      <c r="W73" s="361">
        <f t="shared" ref="W73:W75" si="17">U73*V73</f>
        <v>1935</v>
      </c>
      <c r="Y73" s="432">
        <v>12</v>
      </c>
      <c r="Z73" s="361">
        <f>F73</f>
        <v>43</v>
      </c>
      <c r="AA73" s="361">
        <f t="shared" ref="AA73:AA75" si="18">Y73*Z73</f>
        <v>516</v>
      </c>
    </row>
    <row r="74" spans="1:27" s="397" customFormat="1">
      <c r="A74" s="390"/>
      <c r="B74" s="429"/>
      <c r="C74" s="358" t="s">
        <v>451</v>
      </c>
      <c r="D74" s="359" t="s">
        <v>397</v>
      </c>
      <c r="E74" s="432">
        <f>I74+M74+Q74+U74+Y74</f>
        <v>74</v>
      </c>
      <c r="F74" s="361">
        <v>58</v>
      </c>
      <c r="G74" s="361">
        <f t="shared" si="6"/>
        <v>4292</v>
      </c>
      <c r="H74" s="359"/>
      <c r="I74" s="432">
        <v>18</v>
      </c>
      <c r="J74" s="361">
        <f>F74</f>
        <v>58</v>
      </c>
      <c r="K74" s="361">
        <f t="shared" si="14"/>
        <v>1044</v>
      </c>
      <c r="M74" s="432">
        <v>8</v>
      </c>
      <c r="N74" s="361">
        <f>F74</f>
        <v>58</v>
      </c>
      <c r="O74" s="361">
        <f t="shared" si="15"/>
        <v>464</v>
      </c>
      <c r="Q74" s="432">
        <v>13</v>
      </c>
      <c r="R74" s="361">
        <f>F74</f>
        <v>58</v>
      </c>
      <c r="S74" s="361">
        <f t="shared" si="16"/>
        <v>754</v>
      </c>
      <c r="U74" s="432">
        <v>22</v>
      </c>
      <c r="V74" s="361">
        <f>F74</f>
        <v>58</v>
      </c>
      <c r="W74" s="361">
        <f t="shared" si="17"/>
        <v>1276</v>
      </c>
      <c r="Y74" s="432">
        <v>13</v>
      </c>
      <c r="Z74" s="361">
        <f>F74</f>
        <v>58</v>
      </c>
      <c r="AA74" s="361">
        <f t="shared" si="18"/>
        <v>754</v>
      </c>
    </row>
    <row r="75" spans="1:27" s="397" customFormat="1">
      <c r="A75" s="390"/>
      <c r="B75" s="429"/>
      <c r="C75" s="358" t="s">
        <v>452</v>
      </c>
      <c r="D75" s="359" t="s">
        <v>6</v>
      </c>
      <c r="E75" s="432">
        <f>I75+M75+Q75+U75+Y75</f>
        <v>5</v>
      </c>
      <c r="F75" s="361">
        <v>77</v>
      </c>
      <c r="G75" s="361">
        <f t="shared" si="6"/>
        <v>385</v>
      </c>
      <c r="H75" s="359"/>
      <c r="I75" s="432">
        <v>1</v>
      </c>
      <c r="J75" s="361">
        <f>F75</f>
        <v>77</v>
      </c>
      <c r="K75" s="361">
        <f t="shared" si="14"/>
        <v>77</v>
      </c>
      <c r="M75" s="432">
        <v>1</v>
      </c>
      <c r="N75" s="361">
        <f>F75</f>
        <v>77</v>
      </c>
      <c r="O75" s="361">
        <f t="shared" si="15"/>
        <v>77</v>
      </c>
      <c r="Q75" s="432">
        <v>1</v>
      </c>
      <c r="R75" s="361">
        <f>F75</f>
        <v>77</v>
      </c>
      <c r="S75" s="361">
        <f t="shared" si="16"/>
        <v>77</v>
      </c>
      <c r="U75" s="432">
        <v>1</v>
      </c>
      <c r="V75" s="361">
        <f>F75</f>
        <v>77</v>
      </c>
      <c r="W75" s="361">
        <f t="shared" si="17"/>
        <v>77</v>
      </c>
      <c r="Y75" s="432">
        <v>1</v>
      </c>
      <c r="Z75" s="361">
        <f>F75</f>
        <v>77</v>
      </c>
      <c r="AA75" s="361">
        <f t="shared" si="18"/>
        <v>77</v>
      </c>
    </row>
    <row r="76" spans="1:27" s="397" customFormat="1">
      <c r="A76" s="390"/>
      <c r="B76" s="391"/>
      <c r="C76" s="358"/>
      <c r="D76" s="359"/>
      <c r="E76" s="360"/>
      <c r="F76" s="361"/>
      <c r="G76" s="361"/>
      <c r="H76" s="359"/>
      <c r="I76" s="360"/>
      <c r="J76" s="361"/>
      <c r="K76" s="361"/>
      <c r="M76" s="360"/>
      <c r="N76" s="361"/>
      <c r="O76" s="361"/>
      <c r="Q76" s="360"/>
      <c r="R76" s="361"/>
      <c r="S76" s="361"/>
      <c r="U76" s="360"/>
      <c r="V76" s="361"/>
      <c r="W76" s="361"/>
      <c r="Y76" s="360"/>
      <c r="Z76" s="361"/>
      <c r="AA76" s="361"/>
    </row>
    <row r="77" spans="1:27" s="397" customFormat="1">
      <c r="A77" s="390"/>
      <c r="B77" s="391"/>
      <c r="C77" s="358"/>
      <c r="D77" s="359"/>
      <c r="E77" s="360"/>
      <c r="F77" s="361"/>
      <c r="G77" s="361"/>
      <c r="H77" s="359"/>
      <c r="I77" s="360"/>
      <c r="J77" s="361"/>
      <c r="K77" s="361"/>
      <c r="M77" s="360"/>
      <c r="N77" s="361"/>
      <c r="O77" s="361"/>
      <c r="Q77" s="360"/>
      <c r="R77" s="361"/>
      <c r="S77" s="361"/>
      <c r="U77" s="360"/>
      <c r="V77" s="361"/>
      <c r="W77" s="361"/>
      <c r="Y77" s="360"/>
      <c r="Z77" s="361"/>
      <c r="AA77" s="361"/>
    </row>
    <row r="78" spans="1:27">
      <c r="A78" s="14"/>
      <c r="B78" s="31"/>
      <c r="C78" s="28"/>
      <c r="D78" s="67"/>
      <c r="E78" s="29"/>
      <c r="F78" s="32"/>
      <c r="G78" s="32"/>
      <c r="H78" s="67"/>
      <c r="I78" s="29"/>
      <c r="J78" s="32"/>
      <c r="K78" s="32"/>
      <c r="M78" s="29"/>
      <c r="N78" s="32"/>
      <c r="O78" s="32"/>
      <c r="Q78" s="29"/>
      <c r="R78" s="32"/>
      <c r="S78" s="32"/>
      <c r="U78" s="29"/>
      <c r="V78" s="32"/>
      <c r="W78" s="32"/>
      <c r="Y78" s="29"/>
      <c r="Z78" s="32"/>
      <c r="AA78" s="32"/>
    </row>
    <row r="79" spans="1:27">
      <c r="A79" s="14"/>
      <c r="B79" s="31"/>
      <c r="C79" s="28"/>
      <c r="D79" s="67"/>
      <c r="E79" s="29"/>
      <c r="F79" s="32"/>
      <c r="G79" s="32"/>
      <c r="H79" s="67"/>
      <c r="I79" s="29"/>
      <c r="J79" s="32"/>
      <c r="K79" s="32"/>
      <c r="M79" s="29"/>
      <c r="N79" s="32"/>
      <c r="O79" s="32"/>
      <c r="Q79" s="29"/>
      <c r="R79" s="32"/>
      <c r="S79" s="32"/>
      <c r="U79" s="29"/>
      <c r="V79" s="32"/>
      <c r="W79" s="32"/>
      <c r="Y79" s="29"/>
      <c r="Z79" s="32"/>
      <c r="AA79" s="32"/>
    </row>
    <row r="80" spans="1:27">
      <c r="A80" s="14"/>
      <c r="B80" s="31"/>
      <c r="C80" s="28"/>
      <c r="D80" s="67"/>
      <c r="E80" s="29"/>
      <c r="F80" s="32"/>
      <c r="G80" s="32"/>
      <c r="H80" s="67"/>
      <c r="I80" s="29"/>
      <c r="J80" s="32"/>
      <c r="K80" s="32"/>
      <c r="M80" s="29"/>
      <c r="N80" s="32"/>
      <c r="O80" s="32"/>
      <c r="Q80" s="29"/>
      <c r="R80" s="32"/>
      <c r="S80" s="32"/>
      <c r="U80" s="29"/>
      <c r="V80" s="32"/>
      <c r="W80" s="32"/>
      <c r="Y80" s="29"/>
      <c r="Z80" s="32"/>
      <c r="AA80" s="32"/>
    </row>
    <row r="81" spans="1:27">
      <c r="A81" s="14"/>
      <c r="B81" s="31"/>
      <c r="C81" s="38"/>
      <c r="D81" s="69"/>
      <c r="E81" s="37"/>
      <c r="F81" s="30"/>
      <c r="G81" s="34"/>
      <c r="H81" s="69"/>
      <c r="I81" s="37"/>
      <c r="J81" s="30"/>
      <c r="K81" s="34"/>
      <c r="M81" s="37"/>
      <c r="N81" s="30"/>
      <c r="O81" s="34"/>
      <c r="Q81" s="37"/>
      <c r="R81" s="30"/>
      <c r="S81" s="34"/>
      <c r="U81" s="37"/>
      <c r="V81" s="30"/>
      <c r="W81" s="34"/>
      <c r="Y81" s="37"/>
      <c r="Z81" s="30"/>
      <c r="AA81" s="34"/>
    </row>
    <row r="82" spans="1:27">
      <c r="A82" s="70"/>
      <c r="B82" s="41"/>
      <c r="C82" s="42"/>
      <c r="D82" s="41"/>
      <c r="E82" s="41"/>
      <c r="F82" s="44"/>
      <c r="G82" s="44"/>
      <c r="H82" s="41"/>
      <c r="I82" s="43"/>
      <c r="J82" s="44"/>
      <c r="K82" s="44"/>
      <c r="L82" s="41"/>
      <c r="M82" s="43"/>
      <c r="N82" s="44"/>
      <c r="O82" s="44"/>
      <c r="P82" s="41"/>
      <c r="Q82" s="43"/>
      <c r="R82" s="44"/>
      <c r="S82" s="44"/>
      <c r="T82" s="41"/>
      <c r="U82" s="43"/>
      <c r="V82" s="44"/>
      <c r="W82" s="44"/>
      <c r="X82" s="41"/>
      <c r="Y82" s="43"/>
      <c r="Z82" s="44"/>
      <c r="AA82" s="44"/>
    </row>
    <row r="83" spans="1:27" s="56" customFormat="1">
      <c r="A83" s="71"/>
      <c r="B83" s="72"/>
      <c r="C83" s="53" t="s">
        <v>7</v>
      </c>
      <c r="D83" s="52"/>
      <c r="E83" s="52"/>
      <c r="F83" s="55"/>
      <c r="G83" s="55">
        <f>K83+O83+S83+W83+AA83</f>
        <v>159522</v>
      </c>
      <c r="H83" s="52"/>
      <c r="I83" s="54"/>
      <c r="J83" s="55"/>
      <c r="K83" s="55">
        <f>K6+K12+K16+K34+K61+K72</f>
        <v>33860.199999999997</v>
      </c>
      <c r="L83" s="52"/>
      <c r="M83" s="54"/>
      <c r="N83" s="55"/>
      <c r="O83" s="55">
        <f>O6+O12+O16+O34+O61+O72</f>
        <v>15757.1</v>
      </c>
      <c r="P83" s="52"/>
      <c r="Q83" s="54"/>
      <c r="R83" s="55"/>
      <c r="S83" s="55">
        <f>S6+S12+S16+S34+S61+S72</f>
        <v>37503.1</v>
      </c>
      <c r="T83" s="52"/>
      <c r="U83" s="54"/>
      <c r="V83" s="55"/>
      <c r="W83" s="55">
        <f>W6+W12+W16+W34+W61+W72</f>
        <v>58234.5</v>
      </c>
      <c r="X83" s="52"/>
      <c r="Y83" s="54"/>
      <c r="Z83" s="55"/>
      <c r="AA83" s="55">
        <f>AA6+AA12+AA16+AA34+AA61+AA72</f>
        <v>14167.1</v>
      </c>
    </row>
    <row r="84" spans="1:27" s="56" customFormat="1">
      <c r="A84" s="71"/>
      <c r="B84" s="72"/>
      <c r="C84" s="53" t="s">
        <v>8</v>
      </c>
      <c r="D84" s="52"/>
      <c r="E84" s="52"/>
      <c r="F84" s="55"/>
      <c r="G84" s="55">
        <f>G83*0.2</f>
        <v>31904.400000000001</v>
      </c>
      <c r="H84" s="52"/>
      <c r="I84" s="54"/>
      <c r="J84" s="55"/>
      <c r="K84" s="55">
        <f>K83*0.2</f>
        <v>6772.04</v>
      </c>
      <c r="L84" s="52"/>
      <c r="M84" s="54"/>
      <c r="N84" s="55"/>
      <c r="O84" s="55">
        <f>O83*0.2</f>
        <v>3151.42</v>
      </c>
      <c r="P84" s="52"/>
      <c r="Q84" s="54"/>
      <c r="R84" s="55"/>
      <c r="S84" s="55">
        <f>S83*0.2</f>
        <v>7500.62</v>
      </c>
      <c r="T84" s="52"/>
      <c r="U84" s="54"/>
      <c r="V84" s="55"/>
      <c r="W84" s="55">
        <f>W83*0.2</f>
        <v>11646.900000000001</v>
      </c>
      <c r="X84" s="52"/>
      <c r="Y84" s="54"/>
      <c r="Z84" s="55"/>
      <c r="AA84" s="55">
        <f>AA83*0.2</f>
        <v>2833.42</v>
      </c>
    </row>
    <row r="85" spans="1:27" s="56" customFormat="1">
      <c r="A85" s="71"/>
      <c r="B85" s="72"/>
      <c r="C85" s="53" t="s">
        <v>9</v>
      </c>
      <c r="D85" s="52"/>
      <c r="E85" s="52"/>
      <c r="F85" s="55"/>
      <c r="G85" s="55">
        <f>G84+G83</f>
        <v>191426.4</v>
      </c>
      <c r="H85" s="52"/>
      <c r="I85" s="54"/>
      <c r="J85" s="55"/>
      <c r="K85" s="55">
        <f>K84+K83</f>
        <v>40632.239999999998</v>
      </c>
      <c r="L85" s="52"/>
      <c r="M85" s="54"/>
      <c r="N85" s="55"/>
      <c r="O85" s="55">
        <f>O84+O83</f>
        <v>18908.52</v>
      </c>
      <c r="P85" s="52"/>
      <c r="Q85" s="54"/>
      <c r="R85" s="55"/>
      <c r="S85" s="55">
        <f>S84+S83</f>
        <v>45003.72</v>
      </c>
      <c r="T85" s="52"/>
      <c r="U85" s="54"/>
      <c r="V85" s="55"/>
      <c r="W85" s="55">
        <f>W84+W83</f>
        <v>69881.399999999994</v>
      </c>
      <c r="X85" s="52"/>
      <c r="Y85" s="54"/>
      <c r="Z85" s="55"/>
      <c r="AA85" s="55">
        <f>AA84+AA83</f>
        <v>17000.52</v>
      </c>
    </row>
    <row r="86" spans="1:27">
      <c r="A86" s="73"/>
      <c r="B86" s="74"/>
      <c r="C86" s="45"/>
      <c r="D86" s="46"/>
      <c r="E86" s="51"/>
      <c r="F86" s="48"/>
      <c r="G86" s="48"/>
      <c r="H86" s="46"/>
      <c r="I86" s="47"/>
      <c r="J86" s="48"/>
      <c r="K86" s="48"/>
      <c r="L86" s="49"/>
      <c r="M86" s="50"/>
      <c r="N86" s="48"/>
      <c r="O86" s="48"/>
      <c r="P86" s="49"/>
      <c r="Q86" s="50"/>
      <c r="R86" s="48"/>
      <c r="S86" s="48"/>
      <c r="T86" s="49"/>
      <c r="U86" s="50"/>
      <c r="V86" s="48"/>
      <c r="W86" s="48"/>
      <c r="X86" s="49"/>
      <c r="Y86" s="50"/>
      <c r="Z86" s="48"/>
      <c r="AA86" s="48"/>
    </row>
    <row r="92" spans="1:27">
      <c r="G92" s="207"/>
    </row>
    <row r="94" spans="1:27">
      <c r="G94" s="207"/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scale="6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AA47"/>
  <sheetViews>
    <sheetView showGridLines="0" view="pageBreakPreview" zoomScale="70" zoomScaleNormal="85" zoomScaleSheetLayoutView="70" workbookViewId="0">
      <pane ySplit="5" topLeftCell="A6" activePane="bottomLeft" state="frozen"/>
      <selection activeCell="C15" sqref="C15:I15"/>
      <selection pane="bottomLeft" activeCell="C14" sqref="C14"/>
    </sheetView>
  </sheetViews>
  <sheetFormatPr baseColWidth="10" defaultColWidth="11.44140625" defaultRowHeight="14.4"/>
  <cols>
    <col min="1" max="1" width="3.33203125" style="2" customWidth="1"/>
    <col min="2" max="2" width="2.6640625" style="3" bestFit="1" customWidth="1"/>
    <col min="3" max="3" width="55.6640625" style="24" customWidth="1"/>
    <col min="4" max="4" width="4.5546875" style="1" bestFit="1" customWidth="1"/>
    <col min="5" max="5" width="7.88671875" style="1" customWidth="1"/>
    <col min="6" max="6" width="12" style="1" bestFit="1" customWidth="1"/>
    <col min="7" max="7" width="16" style="1" bestFit="1" customWidth="1"/>
    <col min="8" max="8" width="2.6640625" style="1" customWidth="1"/>
    <col min="9" max="9" width="7.5546875" style="1" bestFit="1" customWidth="1"/>
    <col min="10" max="10" width="14.6640625" style="1" bestFit="1" customWidth="1"/>
    <col min="11" max="11" width="14.5546875" style="1" customWidth="1"/>
    <col min="12" max="12" width="2.6640625" style="1" customWidth="1"/>
    <col min="13" max="13" width="7.5546875" style="1" bestFit="1" customWidth="1"/>
    <col min="14" max="14" width="11.44140625" style="1" bestFit="1" customWidth="1"/>
    <col min="15" max="15" width="14.44140625" style="1" bestFit="1" customWidth="1"/>
    <col min="16" max="16" width="2.6640625" style="1" customWidth="1"/>
    <col min="17" max="17" width="7.5546875" style="1" bestFit="1" customWidth="1"/>
    <col min="18" max="18" width="11.44140625" style="1" bestFit="1" customWidth="1"/>
    <col min="19" max="19" width="15" style="1" bestFit="1" customWidth="1"/>
    <col min="20" max="20" width="2.6640625" style="1" customWidth="1"/>
    <col min="21" max="21" width="7.5546875" style="1" bestFit="1" customWidth="1"/>
    <col min="22" max="22" width="11.44140625" style="1" bestFit="1" customWidth="1"/>
    <col min="23" max="23" width="15" style="1" bestFit="1" customWidth="1"/>
    <col min="24" max="24" width="2.6640625" style="1" customWidth="1"/>
    <col min="25" max="25" width="7.5546875" style="1" bestFit="1" customWidth="1"/>
    <col min="26" max="26" width="11.44140625" style="1" bestFit="1" customWidth="1"/>
    <col min="27" max="27" width="14.44140625" style="1" bestFit="1" customWidth="1"/>
    <col min="28" max="28" width="14.5546875" style="1" bestFit="1" customWidth="1"/>
    <col min="29" max="29" width="12.109375" style="1" bestFit="1" customWidth="1"/>
    <col min="30" max="30" width="11.44140625" style="1"/>
    <col min="31" max="31" width="15" style="1" customWidth="1"/>
    <col min="32" max="16384" width="11.44140625" style="1"/>
  </cols>
  <sheetData>
    <row r="1" spans="1:27" ht="23.25" customHeight="1">
      <c r="A1" s="566" t="s">
        <v>704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8"/>
    </row>
    <row r="2" spans="1:27" ht="8.4" customHeight="1">
      <c r="A2" s="15"/>
      <c r="C2" s="3"/>
      <c r="D2" s="3"/>
      <c r="E2" s="3"/>
      <c r="F2" s="3"/>
      <c r="G2" s="2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23"/>
    </row>
    <row r="3" spans="1:27" ht="19.5" customHeight="1">
      <c r="A3" s="16"/>
      <c r="C3" s="203" t="str">
        <f>'Page de garde'!C15</f>
        <v>IND 00 du 10/06/2025</v>
      </c>
      <c r="E3" s="569" t="s">
        <v>12</v>
      </c>
      <c r="F3" s="570"/>
      <c r="G3" s="571"/>
      <c r="I3" s="572" t="s">
        <v>30</v>
      </c>
      <c r="J3" s="573"/>
      <c r="K3" s="574"/>
      <c r="M3" s="572" t="s">
        <v>31</v>
      </c>
      <c r="N3" s="573"/>
      <c r="O3" s="574"/>
      <c r="Q3" s="572" t="s">
        <v>33</v>
      </c>
      <c r="R3" s="573"/>
      <c r="S3" s="574"/>
      <c r="U3" s="572" t="s">
        <v>34</v>
      </c>
      <c r="V3" s="573"/>
      <c r="W3" s="574"/>
      <c r="Y3" s="572" t="s">
        <v>35</v>
      </c>
      <c r="Z3" s="573"/>
      <c r="AA3" s="574"/>
    </row>
    <row r="4" spans="1:27" ht="19.5" customHeight="1">
      <c r="A4" s="16"/>
      <c r="E4" s="76"/>
      <c r="F4" s="77"/>
      <c r="G4" s="78" t="s">
        <v>11</v>
      </c>
      <c r="I4" s="57"/>
      <c r="J4" s="58"/>
      <c r="K4" s="59" t="s">
        <v>11</v>
      </c>
      <c r="M4" s="60"/>
      <c r="N4" s="58"/>
      <c r="O4" s="59" t="s">
        <v>11</v>
      </c>
      <c r="Q4" s="60"/>
      <c r="R4" s="58"/>
      <c r="S4" s="59" t="s">
        <v>11</v>
      </c>
      <c r="U4" s="60"/>
      <c r="V4" s="58"/>
      <c r="W4" s="59" t="s">
        <v>11</v>
      </c>
      <c r="Y4" s="60"/>
      <c r="Z4" s="58"/>
      <c r="AA4" s="59" t="s">
        <v>11</v>
      </c>
    </row>
    <row r="5" spans="1:27" s="17" customFormat="1" ht="24">
      <c r="A5" s="565" t="s">
        <v>1</v>
      </c>
      <c r="B5" s="565"/>
      <c r="C5" s="25" t="s">
        <v>2</v>
      </c>
      <c r="D5" s="18" t="s">
        <v>0</v>
      </c>
      <c r="E5" s="79" t="s">
        <v>3</v>
      </c>
      <c r="F5" s="79" t="s">
        <v>4</v>
      </c>
      <c r="G5" s="79" t="s">
        <v>5</v>
      </c>
      <c r="H5" s="18"/>
      <c r="I5" s="19" t="s">
        <v>3</v>
      </c>
      <c r="J5" s="19" t="s">
        <v>4</v>
      </c>
      <c r="K5" s="19" t="s">
        <v>5</v>
      </c>
      <c r="L5" s="20"/>
      <c r="M5" s="19" t="s">
        <v>3</v>
      </c>
      <c r="N5" s="19" t="s">
        <v>4</v>
      </c>
      <c r="O5" s="19" t="s">
        <v>5</v>
      </c>
      <c r="P5" s="20"/>
      <c r="Q5" s="19" t="s">
        <v>3</v>
      </c>
      <c r="R5" s="19" t="s">
        <v>4</v>
      </c>
      <c r="S5" s="19" t="s">
        <v>5</v>
      </c>
      <c r="T5" s="20"/>
      <c r="U5" s="19" t="s">
        <v>3</v>
      </c>
      <c r="V5" s="19" t="s">
        <v>4</v>
      </c>
      <c r="W5" s="19" t="s">
        <v>5</v>
      </c>
      <c r="X5" s="20"/>
      <c r="Y5" s="19" t="s">
        <v>3</v>
      </c>
      <c r="Z5" s="19" t="s">
        <v>4</v>
      </c>
      <c r="AA5" s="19" t="s">
        <v>5</v>
      </c>
    </row>
    <row r="6" spans="1:27">
      <c r="A6" s="14"/>
      <c r="B6" s="346" t="s">
        <v>19</v>
      </c>
      <c r="C6" s="328" t="s">
        <v>669</v>
      </c>
      <c r="D6" s="329"/>
      <c r="E6" s="39"/>
      <c r="F6" s="331"/>
      <c r="G6" s="40">
        <f t="shared" ref="G6:G39" si="0">K6+O6+S6+W6+AA6</f>
        <v>0</v>
      </c>
      <c r="H6" s="329"/>
      <c r="I6" s="330"/>
      <c r="J6" s="331"/>
      <c r="K6" s="32">
        <f t="shared" ref="K6:K39" si="1">I6*$F6</f>
        <v>0</v>
      </c>
      <c r="L6" s="56"/>
      <c r="M6" s="330"/>
      <c r="N6" s="331"/>
      <c r="O6" s="32">
        <f t="shared" ref="O6:O39" si="2">M6*$F6</f>
        <v>0</v>
      </c>
      <c r="P6" s="56"/>
      <c r="Q6" s="330"/>
      <c r="R6" s="331"/>
      <c r="S6" s="32">
        <f t="shared" ref="S6:S39" si="3">Q6*$F6</f>
        <v>0</v>
      </c>
      <c r="T6" s="56"/>
      <c r="U6" s="330"/>
      <c r="V6" s="331"/>
      <c r="W6" s="32">
        <f t="shared" ref="W6:W38" si="4">U6*$F6</f>
        <v>0</v>
      </c>
      <c r="X6" s="56"/>
      <c r="Y6" s="330"/>
      <c r="Z6" s="331"/>
      <c r="AA6" s="32">
        <f t="shared" ref="AA6:AA39" si="5">Y6*$F6</f>
        <v>0</v>
      </c>
    </row>
    <row r="7" spans="1:27" ht="13.2" customHeight="1">
      <c r="A7" s="14"/>
      <c r="B7" s="346" t="s">
        <v>1012</v>
      </c>
      <c r="C7" s="328" t="s">
        <v>1013</v>
      </c>
      <c r="D7" s="197" t="s">
        <v>1014</v>
      </c>
      <c r="E7" s="39"/>
      <c r="F7" s="331"/>
      <c r="G7" s="40">
        <f t="shared" si="0"/>
        <v>0</v>
      </c>
      <c r="H7" s="329"/>
      <c r="I7" s="330"/>
      <c r="J7" s="331"/>
      <c r="K7" s="32">
        <f t="shared" si="1"/>
        <v>0</v>
      </c>
      <c r="L7" s="56"/>
      <c r="M7" s="330"/>
      <c r="N7" s="331"/>
      <c r="O7" s="32">
        <f t="shared" si="2"/>
        <v>0</v>
      </c>
      <c r="P7" s="56"/>
      <c r="Q7" s="330"/>
      <c r="R7" s="331"/>
      <c r="S7" s="32">
        <f t="shared" si="3"/>
        <v>0</v>
      </c>
      <c r="T7" s="56"/>
      <c r="U7" s="330"/>
      <c r="V7" s="331"/>
      <c r="W7" s="32">
        <f t="shared" si="4"/>
        <v>0</v>
      </c>
      <c r="X7" s="56"/>
      <c r="Y7" s="330"/>
      <c r="Z7" s="331"/>
      <c r="AA7" s="32">
        <f t="shared" si="5"/>
        <v>0</v>
      </c>
    </row>
    <row r="8" spans="1:27" ht="27.6">
      <c r="A8" s="14"/>
      <c r="B8" s="346" t="s">
        <v>1015</v>
      </c>
      <c r="C8" s="328" t="s">
        <v>971</v>
      </c>
      <c r="D8" s="197"/>
      <c r="E8" s="39"/>
      <c r="F8" s="331"/>
      <c r="G8" s="40">
        <f t="shared" si="0"/>
        <v>0</v>
      </c>
      <c r="H8" s="329"/>
      <c r="I8" s="330"/>
      <c r="J8" s="331"/>
      <c r="K8" s="32">
        <f t="shared" si="1"/>
        <v>0</v>
      </c>
      <c r="L8" s="56"/>
      <c r="M8" s="330"/>
      <c r="N8" s="331"/>
      <c r="O8" s="32">
        <f t="shared" si="2"/>
        <v>0</v>
      </c>
      <c r="P8" s="56"/>
      <c r="Q8" s="330"/>
      <c r="R8" s="331"/>
      <c r="S8" s="32">
        <f t="shared" si="3"/>
        <v>0</v>
      </c>
      <c r="T8" s="56"/>
      <c r="U8" s="330"/>
      <c r="V8" s="331"/>
      <c r="W8" s="32">
        <f t="shared" si="4"/>
        <v>0</v>
      </c>
      <c r="X8" s="56"/>
      <c r="Y8" s="330"/>
      <c r="Z8" s="331"/>
      <c r="AA8" s="32">
        <f t="shared" si="5"/>
        <v>0</v>
      </c>
    </row>
    <row r="9" spans="1:27">
      <c r="A9" s="14"/>
      <c r="B9" s="346"/>
      <c r="C9" s="192" t="s">
        <v>670</v>
      </c>
      <c r="D9" s="197" t="s">
        <v>6</v>
      </c>
      <c r="E9" s="39"/>
      <c r="F9" s="40"/>
      <c r="G9" s="40">
        <f t="shared" si="0"/>
        <v>1500</v>
      </c>
      <c r="H9" s="197"/>
      <c r="I9" s="39">
        <v>1</v>
      </c>
      <c r="J9" s="40">
        <v>1500</v>
      </c>
      <c r="K9" s="32">
        <v>1500</v>
      </c>
      <c r="M9" s="39"/>
      <c r="N9" s="40"/>
      <c r="O9" s="32">
        <f t="shared" si="2"/>
        <v>0</v>
      </c>
      <c r="Q9" s="39"/>
      <c r="R9" s="40"/>
      <c r="S9" s="32">
        <f t="shared" si="3"/>
        <v>0</v>
      </c>
      <c r="U9" s="39"/>
      <c r="V9" s="40"/>
      <c r="W9" s="32">
        <f t="shared" si="4"/>
        <v>0</v>
      </c>
      <c r="Y9" s="39"/>
      <c r="Z9" s="40"/>
      <c r="AA9" s="32">
        <f t="shared" si="5"/>
        <v>0</v>
      </c>
    </row>
    <row r="10" spans="1:27">
      <c r="A10" s="14"/>
      <c r="B10" s="346"/>
      <c r="C10" s="192" t="s">
        <v>671</v>
      </c>
      <c r="D10" s="197" t="s">
        <v>6</v>
      </c>
      <c r="E10" s="39"/>
      <c r="F10" s="40"/>
      <c r="G10" s="40">
        <f t="shared" si="0"/>
        <v>1500</v>
      </c>
      <c r="H10" s="197"/>
      <c r="I10" s="39"/>
      <c r="J10" s="40"/>
      <c r="K10" s="32">
        <f t="shared" si="1"/>
        <v>0</v>
      </c>
      <c r="M10" s="39"/>
      <c r="N10" s="40"/>
      <c r="O10" s="32">
        <f t="shared" si="2"/>
        <v>0</v>
      </c>
      <c r="Q10" s="39"/>
      <c r="R10" s="40"/>
      <c r="S10" s="32">
        <f t="shared" si="3"/>
        <v>0</v>
      </c>
      <c r="U10" s="39"/>
      <c r="V10" s="40"/>
      <c r="W10" s="32">
        <f t="shared" si="4"/>
        <v>0</v>
      </c>
      <c r="Y10" s="39">
        <v>1</v>
      </c>
      <c r="Z10" s="40">
        <v>1500</v>
      </c>
      <c r="AA10" s="32">
        <v>1500</v>
      </c>
    </row>
    <row r="11" spans="1:27">
      <c r="A11" s="14"/>
      <c r="B11" s="346"/>
      <c r="C11" s="192"/>
      <c r="D11" s="197"/>
      <c r="E11" s="39"/>
      <c r="F11" s="40"/>
      <c r="G11" s="40">
        <f t="shared" si="0"/>
        <v>0</v>
      </c>
      <c r="H11" s="197"/>
      <c r="I11" s="39"/>
      <c r="J11" s="40"/>
      <c r="K11" s="32">
        <f t="shared" si="1"/>
        <v>0</v>
      </c>
      <c r="M11" s="39"/>
      <c r="N11" s="40"/>
      <c r="O11" s="32">
        <f t="shared" si="2"/>
        <v>0</v>
      </c>
      <c r="Q11" s="39"/>
      <c r="R11" s="40"/>
      <c r="S11" s="32">
        <f t="shared" si="3"/>
        <v>0</v>
      </c>
      <c r="U11" s="39"/>
      <c r="V11" s="40"/>
      <c r="W11" s="32">
        <f t="shared" si="4"/>
        <v>0</v>
      </c>
      <c r="Y11" s="39"/>
      <c r="Z11" s="40"/>
      <c r="AA11" s="32">
        <f t="shared" si="5"/>
        <v>0</v>
      </c>
    </row>
    <row r="12" spans="1:27">
      <c r="A12" s="14"/>
      <c r="B12" s="346" t="s">
        <v>78</v>
      </c>
      <c r="C12" s="328" t="s">
        <v>678</v>
      </c>
      <c r="D12" s="197"/>
      <c r="E12" s="39"/>
      <c r="F12" s="40"/>
      <c r="G12" s="40">
        <f t="shared" si="0"/>
        <v>0</v>
      </c>
      <c r="H12" s="197"/>
      <c r="I12" s="39"/>
      <c r="J12" s="40"/>
      <c r="K12" s="32">
        <f t="shared" si="1"/>
        <v>0</v>
      </c>
      <c r="M12" s="39"/>
      <c r="N12" s="40"/>
      <c r="O12" s="32">
        <f t="shared" si="2"/>
        <v>0</v>
      </c>
      <c r="Q12" s="39"/>
      <c r="R12" s="40"/>
      <c r="S12" s="32">
        <f t="shared" si="3"/>
        <v>0</v>
      </c>
      <c r="U12" s="39"/>
      <c r="V12" s="40"/>
      <c r="W12" s="32">
        <f t="shared" si="4"/>
        <v>0</v>
      </c>
      <c r="Y12" s="39"/>
      <c r="Z12" s="40"/>
      <c r="AA12" s="32">
        <f t="shared" si="5"/>
        <v>0</v>
      </c>
    </row>
    <row r="13" spans="1:27">
      <c r="A13" s="14"/>
      <c r="B13" s="31"/>
      <c r="C13" s="28"/>
      <c r="D13" s="67"/>
      <c r="E13" s="29"/>
      <c r="F13" s="32"/>
      <c r="G13" s="40">
        <f t="shared" si="0"/>
        <v>0</v>
      </c>
      <c r="H13" s="67"/>
      <c r="I13" s="29"/>
      <c r="J13" s="32"/>
      <c r="K13" s="32">
        <f t="shared" si="1"/>
        <v>0</v>
      </c>
      <c r="M13" s="29"/>
      <c r="N13" s="32"/>
      <c r="O13" s="32">
        <f t="shared" si="2"/>
        <v>0</v>
      </c>
      <c r="Q13" s="29"/>
      <c r="R13" s="32"/>
      <c r="S13" s="32">
        <f t="shared" si="3"/>
        <v>0</v>
      </c>
      <c r="U13" s="29"/>
      <c r="V13" s="32"/>
      <c r="W13" s="32">
        <f t="shared" si="4"/>
        <v>0</v>
      </c>
      <c r="Y13" s="29"/>
      <c r="Z13" s="32"/>
      <c r="AA13" s="32">
        <f t="shared" si="5"/>
        <v>0</v>
      </c>
    </row>
    <row r="14" spans="1:27">
      <c r="A14" s="14"/>
      <c r="B14" s="31"/>
      <c r="C14" s="28" t="s">
        <v>1016</v>
      </c>
      <c r="D14" s="67" t="s">
        <v>6</v>
      </c>
      <c r="E14" s="29"/>
      <c r="F14" s="32"/>
      <c r="G14" s="40">
        <f t="shared" si="0"/>
        <v>285</v>
      </c>
      <c r="H14" s="67"/>
      <c r="I14" s="29">
        <v>1</v>
      </c>
      <c r="J14" s="32">
        <v>95</v>
      </c>
      <c r="K14" s="32">
        <v>95</v>
      </c>
      <c r="M14" s="29">
        <v>1</v>
      </c>
      <c r="N14" s="32">
        <v>95</v>
      </c>
      <c r="O14" s="32">
        <v>95</v>
      </c>
      <c r="Q14" s="29"/>
      <c r="R14" s="32"/>
      <c r="S14" s="32">
        <f t="shared" si="3"/>
        <v>0</v>
      </c>
      <c r="U14" s="29">
        <v>1</v>
      </c>
      <c r="V14" s="32">
        <v>95</v>
      </c>
      <c r="W14" s="32">
        <v>95</v>
      </c>
      <c r="Y14" s="29"/>
      <c r="Z14" s="32"/>
      <c r="AA14" s="32">
        <f t="shared" si="5"/>
        <v>0</v>
      </c>
    </row>
    <row r="15" spans="1:27">
      <c r="A15" s="14"/>
      <c r="B15" s="31"/>
      <c r="C15" s="28" t="s">
        <v>1017</v>
      </c>
      <c r="D15" s="67" t="s">
        <v>6</v>
      </c>
      <c r="E15" s="29"/>
      <c r="F15" s="32"/>
      <c r="G15" s="40">
        <f t="shared" si="0"/>
        <v>285</v>
      </c>
      <c r="H15" s="67"/>
      <c r="I15" s="29">
        <v>1</v>
      </c>
      <c r="J15" s="32">
        <v>95</v>
      </c>
      <c r="K15" s="32">
        <v>95</v>
      </c>
      <c r="M15" s="29">
        <v>1</v>
      </c>
      <c r="N15" s="32">
        <v>95</v>
      </c>
      <c r="O15" s="32">
        <v>95</v>
      </c>
      <c r="Q15" s="29"/>
      <c r="R15" s="32"/>
      <c r="S15" s="32">
        <f t="shared" si="3"/>
        <v>0</v>
      </c>
      <c r="U15" s="29">
        <v>1</v>
      </c>
      <c r="V15" s="32">
        <v>95</v>
      </c>
      <c r="W15" s="32">
        <v>95</v>
      </c>
      <c r="Y15" s="29"/>
      <c r="Z15" s="32"/>
      <c r="AA15" s="32">
        <f t="shared" si="5"/>
        <v>0</v>
      </c>
    </row>
    <row r="16" spans="1:27">
      <c r="A16" s="14"/>
      <c r="B16" s="31"/>
      <c r="C16" s="28" t="s">
        <v>1018</v>
      </c>
      <c r="D16" s="67" t="s">
        <v>6</v>
      </c>
      <c r="E16" s="29"/>
      <c r="F16" s="32"/>
      <c r="G16" s="40">
        <f t="shared" si="0"/>
        <v>285</v>
      </c>
      <c r="H16" s="67"/>
      <c r="I16" s="29">
        <v>1</v>
      </c>
      <c r="J16" s="32">
        <v>95</v>
      </c>
      <c r="K16" s="32">
        <v>95</v>
      </c>
      <c r="M16" s="29">
        <v>1</v>
      </c>
      <c r="N16" s="32">
        <v>95</v>
      </c>
      <c r="O16" s="32">
        <v>95</v>
      </c>
      <c r="Q16" s="29"/>
      <c r="R16" s="32"/>
      <c r="S16" s="32">
        <f t="shared" si="3"/>
        <v>0</v>
      </c>
      <c r="U16" s="29">
        <v>1</v>
      </c>
      <c r="V16" s="32">
        <v>95</v>
      </c>
      <c r="W16" s="32">
        <v>95</v>
      </c>
      <c r="Y16" s="29"/>
      <c r="Z16" s="32"/>
      <c r="AA16" s="32">
        <f t="shared" si="5"/>
        <v>0</v>
      </c>
    </row>
    <row r="17" spans="1:27">
      <c r="A17" s="14"/>
      <c r="B17" s="31"/>
      <c r="C17" s="28"/>
      <c r="D17" s="67"/>
      <c r="E17" s="29"/>
      <c r="F17" s="32"/>
      <c r="G17" s="40">
        <f t="shared" si="0"/>
        <v>0</v>
      </c>
      <c r="H17" s="67"/>
      <c r="I17" s="29"/>
      <c r="J17" s="32"/>
      <c r="K17" s="32">
        <f t="shared" si="1"/>
        <v>0</v>
      </c>
      <c r="M17" s="29"/>
      <c r="N17" s="32"/>
      <c r="O17" s="32">
        <f t="shared" si="2"/>
        <v>0</v>
      </c>
      <c r="Q17" s="29"/>
      <c r="R17" s="32"/>
      <c r="S17" s="32">
        <f t="shared" si="3"/>
        <v>0</v>
      </c>
      <c r="U17" s="29"/>
      <c r="V17" s="32"/>
      <c r="W17" s="32">
        <f t="shared" si="4"/>
        <v>0</v>
      </c>
      <c r="Y17" s="29"/>
      <c r="Z17" s="32"/>
      <c r="AA17" s="32">
        <f t="shared" si="5"/>
        <v>0</v>
      </c>
    </row>
    <row r="18" spans="1:27">
      <c r="A18" s="14"/>
      <c r="B18" s="31"/>
      <c r="C18" s="28"/>
      <c r="D18" s="67"/>
      <c r="E18" s="29"/>
      <c r="F18" s="32"/>
      <c r="G18" s="40">
        <f t="shared" si="0"/>
        <v>0</v>
      </c>
      <c r="H18" s="67"/>
      <c r="I18" s="29"/>
      <c r="J18" s="32"/>
      <c r="K18" s="32">
        <f t="shared" si="1"/>
        <v>0</v>
      </c>
      <c r="M18" s="29"/>
      <c r="N18" s="32"/>
      <c r="O18" s="32">
        <f t="shared" si="2"/>
        <v>0</v>
      </c>
      <c r="Q18" s="29"/>
      <c r="R18" s="32"/>
      <c r="S18" s="32">
        <f t="shared" si="3"/>
        <v>0</v>
      </c>
      <c r="U18" s="29"/>
      <c r="V18" s="32"/>
      <c r="W18" s="32">
        <f t="shared" si="4"/>
        <v>0</v>
      </c>
      <c r="Y18" s="29"/>
      <c r="Z18" s="32"/>
      <c r="AA18" s="32">
        <f t="shared" si="5"/>
        <v>0</v>
      </c>
    </row>
    <row r="19" spans="1:27">
      <c r="A19" s="14"/>
      <c r="B19" s="31"/>
      <c r="C19" s="28" t="s">
        <v>1019</v>
      </c>
      <c r="D19" s="67" t="s">
        <v>397</v>
      </c>
      <c r="E19" s="29"/>
      <c r="F19" s="32"/>
      <c r="G19" s="40">
        <f t="shared" si="0"/>
        <v>1900</v>
      </c>
      <c r="H19" s="67"/>
      <c r="I19" s="29"/>
      <c r="J19" s="32"/>
      <c r="K19" s="32">
        <f t="shared" si="1"/>
        <v>0</v>
      </c>
      <c r="M19" s="29">
        <v>50</v>
      </c>
      <c r="N19" s="32">
        <v>38</v>
      </c>
      <c r="O19" s="32">
        <v>1900</v>
      </c>
      <c r="Q19" s="29"/>
      <c r="R19" s="32"/>
      <c r="S19" s="32">
        <f t="shared" si="3"/>
        <v>0</v>
      </c>
      <c r="U19" s="29"/>
      <c r="V19" s="32"/>
      <c r="W19" s="32">
        <f t="shared" si="4"/>
        <v>0</v>
      </c>
      <c r="Y19" s="29"/>
      <c r="Z19" s="32"/>
      <c r="AA19" s="32">
        <f t="shared" si="5"/>
        <v>0</v>
      </c>
    </row>
    <row r="20" spans="1:27">
      <c r="A20" s="14"/>
      <c r="B20" s="31"/>
      <c r="C20" s="28" t="s">
        <v>1020</v>
      </c>
      <c r="D20" s="67" t="s">
        <v>397</v>
      </c>
      <c r="E20" s="29"/>
      <c r="F20" s="32"/>
      <c r="G20" s="40">
        <f t="shared" si="0"/>
        <v>1900</v>
      </c>
      <c r="H20" s="67"/>
      <c r="I20" s="29"/>
      <c r="J20" s="32"/>
      <c r="K20" s="32">
        <f t="shared" si="1"/>
        <v>0</v>
      </c>
      <c r="M20" s="29">
        <v>50</v>
      </c>
      <c r="N20" s="32">
        <v>38</v>
      </c>
      <c r="O20" s="32">
        <v>1900</v>
      </c>
      <c r="Q20" s="29"/>
      <c r="R20" s="32"/>
      <c r="S20" s="32">
        <f t="shared" si="3"/>
        <v>0</v>
      </c>
      <c r="U20" s="29"/>
      <c r="V20" s="32"/>
      <c r="W20" s="32">
        <f t="shared" si="4"/>
        <v>0</v>
      </c>
      <c r="Y20" s="29"/>
      <c r="Z20" s="32"/>
      <c r="AA20" s="32">
        <f t="shared" si="5"/>
        <v>0</v>
      </c>
    </row>
    <row r="21" spans="1:27">
      <c r="A21" s="14"/>
      <c r="B21" s="31"/>
      <c r="C21" s="28" t="s">
        <v>1021</v>
      </c>
      <c r="D21" s="67" t="s">
        <v>397</v>
      </c>
      <c r="E21" s="29"/>
      <c r="F21" s="32"/>
      <c r="G21" s="40">
        <f t="shared" si="0"/>
        <v>1950</v>
      </c>
      <c r="H21" s="67"/>
      <c r="I21" s="29"/>
      <c r="J21" s="32"/>
      <c r="K21" s="32">
        <f t="shared" si="1"/>
        <v>0</v>
      </c>
      <c r="M21" s="29">
        <v>50</v>
      </c>
      <c r="N21" s="32">
        <v>39</v>
      </c>
      <c r="O21" s="32">
        <v>1950</v>
      </c>
      <c r="Q21" s="29"/>
      <c r="R21" s="32"/>
      <c r="S21" s="32">
        <f t="shared" si="3"/>
        <v>0</v>
      </c>
      <c r="U21" s="29"/>
      <c r="V21" s="32"/>
      <c r="W21" s="32">
        <f t="shared" si="4"/>
        <v>0</v>
      </c>
      <c r="Y21" s="29"/>
      <c r="Z21" s="32"/>
      <c r="AA21" s="32">
        <f t="shared" si="5"/>
        <v>0</v>
      </c>
    </row>
    <row r="22" spans="1:27">
      <c r="A22" s="14"/>
      <c r="B22" s="31"/>
      <c r="C22" s="28"/>
      <c r="D22" s="67"/>
      <c r="E22" s="29"/>
      <c r="F22" s="32"/>
      <c r="G22" s="40">
        <f t="shared" si="0"/>
        <v>0</v>
      </c>
      <c r="H22" s="67"/>
      <c r="I22" s="29"/>
      <c r="J22" s="32"/>
      <c r="K22" s="32">
        <f t="shared" si="1"/>
        <v>0</v>
      </c>
      <c r="M22" s="29"/>
      <c r="N22" s="32"/>
      <c r="O22" s="32">
        <f t="shared" si="2"/>
        <v>0</v>
      </c>
      <c r="Q22" s="29"/>
      <c r="R22" s="32"/>
      <c r="S22" s="32">
        <f t="shared" si="3"/>
        <v>0</v>
      </c>
      <c r="U22" s="29"/>
      <c r="V22" s="32"/>
      <c r="W22" s="32">
        <f t="shared" si="4"/>
        <v>0</v>
      </c>
      <c r="Y22" s="29"/>
      <c r="Z22" s="32"/>
      <c r="AA22" s="32">
        <f t="shared" si="5"/>
        <v>0</v>
      </c>
    </row>
    <row r="23" spans="1:27">
      <c r="A23" s="14"/>
      <c r="B23" s="31"/>
      <c r="C23" s="28" t="s">
        <v>1022</v>
      </c>
      <c r="D23" s="67" t="s">
        <v>398</v>
      </c>
      <c r="E23" s="29"/>
      <c r="F23" s="32"/>
      <c r="G23" s="40">
        <f t="shared" si="0"/>
        <v>950</v>
      </c>
      <c r="H23" s="67"/>
      <c r="I23" s="29"/>
      <c r="J23" s="32"/>
      <c r="K23" s="32">
        <f t="shared" si="1"/>
        <v>0</v>
      </c>
      <c r="M23" s="29">
        <v>1</v>
      </c>
      <c r="N23" s="32">
        <v>950</v>
      </c>
      <c r="O23" s="32">
        <v>950</v>
      </c>
      <c r="Q23" s="29"/>
      <c r="R23" s="32"/>
      <c r="S23" s="32">
        <f t="shared" si="3"/>
        <v>0</v>
      </c>
      <c r="U23" s="29"/>
      <c r="V23" s="32"/>
      <c r="W23" s="32">
        <f t="shared" si="4"/>
        <v>0</v>
      </c>
      <c r="Y23" s="29"/>
      <c r="Z23" s="32"/>
      <c r="AA23" s="32">
        <f t="shared" si="5"/>
        <v>0</v>
      </c>
    </row>
    <row r="24" spans="1:27">
      <c r="A24" s="14"/>
      <c r="B24" s="31"/>
      <c r="C24" s="28" t="s">
        <v>1023</v>
      </c>
      <c r="D24" s="67" t="s">
        <v>398</v>
      </c>
      <c r="E24" s="29"/>
      <c r="F24" s="32"/>
      <c r="G24" s="40">
        <f t="shared" si="0"/>
        <v>950</v>
      </c>
      <c r="H24" s="67"/>
      <c r="I24" s="29"/>
      <c r="J24" s="32"/>
      <c r="K24" s="32">
        <f t="shared" si="1"/>
        <v>0</v>
      </c>
      <c r="M24" s="29">
        <v>1</v>
      </c>
      <c r="N24" s="32">
        <v>950</v>
      </c>
      <c r="O24" s="32">
        <v>950</v>
      </c>
      <c r="Q24" s="29"/>
      <c r="R24" s="32"/>
      <c r="S24" s="32">
        <f t="shared" si="3"/>
        <v>0</v>
      </c>
      <c r="U24" s="29"/>
      <c r="V24" s="32"/>
      <c r="W24" s="32">
        <f t="shared" si="4"/>
        <v>0</v>
      </c>
      <c r="Y24" s="29"/>
      <c r="Z24" s="32"/>
      <c r="AA24" s="32">
        <f t="shared" si="5"/>
        <v>0</v>
      </c>
    </row>
    <row r="25" spans="1:27">
      <c r="A25" s="14"/>
      <c r="B25" s="31"/>
      <c r="C25" s="28" t="s">
        <v>1024</v>
      </c>
      <c r="D25" s="67" t="s">
        <v>398</v>
      </c>
      <c r="E25" s="29"/>
      <c r="F25" s="32"/>
      <c r="G25" s="40">
        <f t="shared" si="0"/>
        <v>950</v>
      </c>
      <c r="H25" s="67"/>
      <c r="I25" s="29"/>
      <c r="J25" s="32"/>
      <c r="K25" s="32">
        <f t="shared" si="1"/>
        <v>0</v>
      </c>
      <c r="M25" s="29">
        <v>1</v>
      </c>
      <c r="N25" s="32">
        <v>950</v>
      </c>
      <c r="O25" s="32">
        <v>950</v>
      </c>
      <c r="Q25" s="29"/>
      <c r="R25" s="32"/>
      <c r="S25" s="32">
        <f t="shared" si="3"/>
        <v>0</v>
      </c>
      <c r="U25" s="29"/>
      <c r="V25" s="32"/>
      <c r="W25" s="32">
        <f t="shared" si="4"/>
        <v>0</v>
      </c>
      <c r="Y25" s="29"/>
      <c r="Z25" s="32"/>
      <c r="AA25" s="32">
        <f t="shared" si="5"/>
        <v>0</v>
      </c>
    </row>
    <row r="26" spans="1:27">
      <c r="A26" s="14"/>
      <c r="B26" s="31"/>
      <c r="C26" s="28"/>
      <c r="D26" s="67"/>
      <c r="E26" s="29"/>
      <c r="F26" s="32"/>
      <c r="G26" s="40">
        <f t="shared" si="0"/>
        <v>0</v>
      </c>
      <c r="H26" s="67"/>
      <c r="I26" s="29"/>
      <c r="J26" s="32"/>
      <c r="K26" s="32">
        <f t="shared" si="1"/>
        <v>0</v>
      </c>
      <c r="M26" s="29"/>
      <c r="N26" s="32"/>
      <c r="O26" s="32">
        <f t="shared" si="2"/>
        <v>0</v>
      </c>
      <c r="Q26" s="29"/>
      <c r="R26" s="32"/>
      <c r="S26" s="32">
        <f t="shared" si="3"/>
        <v>0</v>
      </c>
      <c r="U26" s="29"/>
      <c r="V26" s="32"/>
      <c r="W26" s="32">
        <f t="shared" si="4"/>
        <v>0</v>
      </c>
      <c r="Y26" s="29"/>
      <c r="Z26" s="32"/>
      <c r="AA26" s="32">
        <f t="shared" si="5"/>
        <v>0</v>
      </c>
    </row>
    <row r="27" spans="1:27">
      <c r="A27" s="14"/>
      <c r="B27" s="31"/>
      <c r="C27" s="28" t="s">
        <v>1025</v>
      </c>
      <c r="D27" s="67" t="s">
        <v>397</v>
      </c>
      <c r="E27" s="29"/>
      <c r="F27" s="32"/>
      <c r="G27" s="40">
        <f t="shared" si="0"/>
        <v>15318</v>
      </c>
      <c r="H27" s="67"/>
      <c r="I27" s="29">
        <v>60</v>
      </c>
      <c r="J27" s="32">
        <v>37</v>
      </c>
      <c r="K27" s="32">
        <v>2220</v>
      </c>
      <c r="M27" s="29">
        <v>45</v>
      </c>
      <c r="N27" s="32">
        <v>37</v>
      </c>
      <c r="O27" s="32">
        <v>1665</v>
      </c>
      <c r="Q27" s="29">
        <f>10+45+66</f>
        <v>121</v>
      </c>
      <c r="R27" s="32">
        <v>37</v>
      </c>
      <c r="S27" s="32">
        <v>4477</v>
      </c>
      <c r="U27" s="29">
        <f>60+28+50+50</f>
        <v>188</v>
      </c>
      <c r="V27" s="32">
        <v>37</v>
      </c>
      <c r="W27" s="32">
        <v>6956</v>
      </c>
      <c r="Y27" s="29"/>
      <c r="Z27" s="32"/>
      <c r="AA27" s="32">
        <f t="shared" si="5"/>
        <v>0</v>
      </c>
    </row>
    <row r="28" spans="1:27">
      <c r="A28" s="14"/>
      <c r="B28" s="31"/>
      <c r="C28" s="28" t="s">
        <v>1026</v>
      </c>
      <c r="D28" s="67" t="s">
        <v>397</v>
      </c>
      <c r="E28" s="29"/>
      <c r="F28" s="32"/>
      <c r="G28" s="40">
        <f t="shared" si="0"/>
        <v>15318</v>
      </c>
      <c r="H28" s="67"/>
      <c r="I28" s="29">
        <v>60</v>
      </c>
      <c r="J28" s="32">
        <v>37</v>
      </c>
      <c r="K28" s="32">
        <v>2220</v>
      </c>
      <c r="M28" s="29">
        <v>45</v>
      </c>
      <c r="N28" s="32">
        <v>37</v>
      </c>
      <c r="O28" s="32">
        <v>1665</v>
      </c>
      <c r="Q28" s="29">
        <v>121</v>
      </c>
      <c r="R28" s="32">
        <v>37</v>
      </c>
      <c r="S28" s="32">
        <v>4477</v>
      </c>
      <c r="U28" s="29">
        <v>188</v>
      </c>
      <c r="V28" s="32">
        <v>37</v>
      </c>
      <c r="W28" s="32">
        <v>6956</v>
      </c>
      <c r="Y28" s="29"/>
      <c r="Z28" s="32"/>
      <c r="AA28" s="32">
        <f t="shared" si="5"/>
        <v>0</v>
      </c>
    </row>
    <row r="29" spans="1:27">
      <c r="A29" s="14"/>
      <c r="B29" s="31"/>
      <c r="C29" s="28" t="s">
        <v>1027</v>
      </c>
      <c r="D29" s="67" t="s">
        <v>397</v>
      </c>
      <c r="E29" s="29"/>
      <c r="F29" s="32"/>
      <c r="G29" s="40">
        <f t="shared" si="0"/>
        <v>15732</v>
      </c>
      <c r="H29" s="67"/>
      <c r="I29" s="29">
        <v>60</v>
      </c>
      <c r="J29" s="32">
        <v>38</v>
      </c>
      <c r="K29" s="32">
        <v>2280</v>
      </c>
      <c r="M29" s="29">
        <v>45</v>
      </c>
      <c r="N29" s="32">
        <v>38</v>
      </c>
      <c r="O29" s="32">
        <v>1710</v>
      </c>
      <c r="Q29" s="29">
        <v>121</v>
      </c>
      <c r="R29" s="32">
        <v>38</v>
      </c>
      <c r="S29" s="32">
        <v>4598</v>
      </c>
      <c r="U29" s="29">
        <v>188</v>
      </c>
      <c r="V29" s="32">
        <v>38</v>
      </c>
      <c r="W29" s="32">
        <v>7144</v>
      </c>
      <c r="Y29" s="29"/>
      <c r="Z29" s="32"/>
      <c r="AA29" s="32">
        <f t="shared" si="5"/>
        <v>0</v>
      </c>
    </row>
    <row r="30" spans="1:27">
      <c r="A30" s="14"/>
      <c r="B30" s="31"/>
      <c r="C30" s="28"/>
      <c r="D30" s="67"/>
      <c r="E30" s="29"/>
      <c r="F30" s="32"/>
      <c r="G30" s="40">
        <f t="shared" si="0"/>
        <v>0</v>
      </c>
      <c r="H30" s="67"/>
      <c r="I30" s="29"/>
      <c r="J30" s="32"/>
      <c r="K30" s="32">
        <f t="shared" si="1"/>
        <v>0</v>
      </c>
      <c r="M30" s="29"/>
      <c r="N30" s="32"/>
      <c r="O30" s="32">
        <f t="shared" si="2"/>
        <v>0</v>
      </c>
      <c r="Q30" s="29"/>
      <c r="R30" s="32"/>
      <c r="S30" s="32">
        <f t="shared" si="3"/>
        <v>0</v>
      </c>
      <c r="U30" s="29"/>
      <c r="V30" s="32"/>
      <c r="W30" s="32">
        <f t="shared" si="4"/>
        <v>0</v>
      </c>
      <c r="Y30" s="29"/>
      <c r="Z30" s="32"/>
      <c r="AA30" s="32">
        <f t="shared" si="5"/>
        <v>0</v>
      </c>
    </row>
    <row r="31" spans="1:27">
      <c r="A31" s="14"/>
      <c r="B31" s="31"/>
      <c r="C31" s="28" t="s">
        <v>1028</v>
      </c>
      <c r="D31" s="67" t="s">
        <v>398</v>
      </c>
      <c r="E31" s="29"/>
      <c r="F31" s="32"/>
      <c r="G31" s="40">
        <f t="shared" si="0"/>
        <v>252</v>
      </c>
      <c r="H31" s="67"/>
      <c r="I31" s="29">
        <v>1</v>
      </c>
      <c r="J31" s="32">
        <v>84</v>
      </c>
      <c r="K31" s="32">
        <v>84</v>
      </c>
      <c r="M31" s="29">
        <v>2</v>
      </c>
      <c r="N31" s="32">
        <v>84</v>
      </c>
      <c r="O31" s="32">
        <v>168</v>
      </c>
      <c r="Q31" s="29"/>
      <c r="R31" s="32"/>
      <c r="S31" s="32">
        <f t="shared" si="3"/>
        <v>0</v>
      </c>
      <c r="U31" s="29"/>
      <c r="V31" s="32"/>
      <c r="W31" s="32">
        <f t="shared" si="4"/>
        <v>0</v>
      </c>
      <c r="Y31" s="29"/>
      <c r="Z31" s="32"/>
      <c r="AA31" s="32">
        <f t="shared" si="5"/>
        <v>0</v>
      </c>
    </row>
    <row r="32" spans="1:27">
      <c r="A32" s="14"/>
      <c r="B32" s="31"/>
      <c r="C32" s="28" t="s">
        <v>1029</v>
      </c>
      <c r="D32" s="67" t="s">
        <v>398</v>
      </c>
      <c r="E32" s="29"/>
      <c r="F32" s="32"/>
      <c r="G32" s="40">
        <f t="shared" si="0"/>
        <v>252</v>
      </c>
      <c r="H32" s="67"/>
      <c r="I32" s="29">
        <v>1</v>
      </c>
      <c r="J32" s="32">
        <v>84</v>
      </c>
      <c r="K32" s="32">
        <v>84</v>
      </c>
      <c r="M32" s="29">
        <v>2</v>
      </c>
      <c r="N32" s="32">
        <v>84</v>
      </c>
      <c r="O32" s="32">
        <v>168</v>
      </c>
      <c r="Q32" s="29"/>
      <c r="R32" s="32"/>
      <c r="S32" s="32">
        <f t="shared" si="3"/>
        <v>0</v>
      </c>
      <c r="U32" s="29"/>
      <c r="V32" s="32"/>
      <c r="W32" s="32">
        <f t="shared" si="4"/>
        <v>0</v>
      </c>
      <c r="Y32" s="29"/>
      <c r="Z32" s="32"/>
      <c r="AA32" s="32">
        <f t="shared" si="5"/>
        <v>0</v>
      </c>
    </row>
    <row r="33" spans="1:27">
      <c r="A33" s="14"/>
      <c r="B33" s="31"/>
      <c r="C33" s="28" t="s">
        <v>1030</v>
      </c>
      <c r="D33" s="67" t="s">
        <v>398</v>
      </c>
      <c r="E33" s="29"/>
      <c r="F33" s="32"/>
      <c r="G33" s="40">
        <f t="shared" si="0"/>
        <v>258</v>
      </c>
      <c r="H33" s="67"/>
      <c r="I33" s="29">
        <v>1</v>
      </c>
      <c r="J33" s="32">
        <v>86</v>
      </c>
      <c r="K33" s="32">
        <v>86</v>
      </c>
      <c r="M33" s="29">
        <v>2</v>
      </c>
      <c r="N33" s="32">
        <v>86</v>
      </c>
      <c r="O33" s="32">
        <v>172</v>
      </c>
      <c r="Q33" s="29"/>
      <c r="R33" s="32"/>
      <c r="S33" s="32">
        <f t="shared" si="3"/>
        <v>0</v>
      </c>
      <c r="U33" s="29"/>
      <c r="V33" s="32"/>
      <c r="W33" s="32">
        <f t="shared" si="4"/>
        <v>0</v>
      </c>
      <c r="Y33" s="29"/>
      <c r="Z33" s="32"/>
      <c r="AA33" s="32">
        <f t="shared" si="5"/>
        <v>0</v>
      </c>
    </row>
    <row r="34" spans="1:27">
      <c r="A34" s="14"/>
      <c r="B34" s="31"/>
      <c r="C34" s="28"/>
      <c r="D34" s="67"/>
      <c r="E34" s="29"/>
      <c r="F34" s="32"/>
      <c r="G34" s="40">
        <f t="shared" si="0"/>
        <v>0</v>
      </c>
      <c r="H34" s="67"/>
      <c r="I34" s="29"/>
      <c r="J34" s="32"/>
      <c r="K34" s="32">
        <f t="shared" si="1"/>
        <v>0</v>
      </c>
      <c r="M34" s="29"/>
      <c r="N34" s="32"/>
      <c r="O34" s="32">
        <f t="shared" si="2"/>
        <v>0</v>
      </c>
      <c r="Q34" s="29"/>
      <c r="R34" s="32"/>
      <c r="S34" s="32">
        <f t="shared" si="3"/>
        <v>0</v>
      </c>
      <c r="U34" s="29"/>
      <c r="V34" s="32"/>
      <c r="W34" s="32">
        <f t="shared" si="4"/>
        <v>0</v>
      </c>
      <c r="Y34" s="29"/>
      <c r="Z34" s="32"/>
      <c r="AA34" s="32">
        <f t="shared" si="5"/>
        <v>0</v>
      </c>
    </row>
    <row r="35" spans="1:27">
      <c r="A35" s="14"/>
      <c r="B35" s="31"/>
      <c r="C35" s="28" t="s">
        <v>1031</v>
      </c>
      <c r="D35" s="67" t="s">
        <v>69</v>
      </c>
      <c r="E35" s="29"/>
      <c r="F35" s="32"/>
      <c r="G35" s="40">
        <f t="shared" si="0"/>
        <v>5170</v>
      </c>
      <c r="H35" s="67"/>
      <c r="I35" s="29">
        <v>5</v>
      </c>
      <c r="J35" s="32">
        <v>110</v>
      </c>
      <c r="K35" s="32">
        <v>550</v>
      </c>
      <c r="M35" s="29">
        <v>4</v>
      </c>
      <c r="N35" s="32">
        <v>110</v>
      </c>
      <c r="O35" s="32">
        <v>440</v>
      </c>
      <c r="Q35" s="29">
        <v>15</v>
      </c>
      <c r="R35" s="32">
        <v>110</v>
      </c>
      <c r="S35" s="32">
        <v>1650</v>
      </c>
      <c r="U35" s="29">
        <v>23</v>
      </c>
      <c r="V35" s="32">
        <v>110</v>
      </c>
      <c r="W35" s="32">
        <v>2530</v>
      </c>
      <c r="Y35" s="29"/>
      <c r="Z35" s="32"/>
      <c r="AA35" s="32">
        <f t="shared" si="5"/>
        <v>0</v>
      </c>
    </row>
    <row r="36" spans="1:27">
      <c r="A36" s="14"/>
      <c r="B36" s="31"/>
      <c r="C36" s="28" t="s">
        <v>1032</v>
      </c>
      <c r="D36" s="67" t="s">
        <v>69</v>
      </c>
      <c r="E36" s="29"/>
      <c r="F36" s="32"/>
      <c r="G36" s="40">
        <f t="shared" si="0"/>
        <v>4840</v>
      </c>
      <c r="H36" s="67"/>
      <c r="I36" s="29">
        <v>5</v>
      </c>
      <c r="J36" s="32">
        <v>110</v>
      </c>
      <c r="K36" s="32">
        <v>550</v>
      </c>
      <c r="M36" s="29">
        <v>4</v>
      </c>
      <c r="N36" s="32">
        <v>110</v>
      </c>
      <c r="O36" s="32">
        <v>440</v>
      </c>
      <c r="Q36" s="29">
        <v>12</v>
      </c>
      <c r="R36" s="32">
        <v>110</v>
      </c>
      <c r="S36" s="32">
        <v>1320</v>
      </c>
      <c r="U36" s="29">
        <v>23</v>
      </c>
      <c r="V36" s="32">
        <v>110</v>
      </c>
      <c r="W36" s="32">
        <v>2530</v>
      </c>
      <c r="Y36" s="29"/>
      <c r="Z36" s="32"/>
      <c r="AA36" s="32">
        <f t="shared" si="5"/>
        <v>0</v>
      </c>
    </row>
    <row r="37" spans="1:27">
      <c r="A37" s="14"/>
      <c r="B37" s="31"/>
      <c r="C37" s="28" t="s">
        <v>1033</v>
      </c>
      <c r="D37" s="67" t="s">
        <v>69</v>
      </c>
      <c r="E37" s="29"/>
      <c r="F37" s="32"/>
      <c r="G37" s="40">
        <f t="shared" si="0"/>
        <v>6050</v>
      </c>
      <c r="H37" s="67"/>
      <c r="I37" s="29">
        <v>5</v>
      </c>
      <c r="J37" s="32">
        <v>110</v>
      </c>
      <c r="K37" s="32">
        <v>550</v>
      </c>
      <c r="M37" s="29">
        <v>8</v>
      </c>
      <c r="N37" s="32">
        <v>110</v>
      </c>
      <c r="O37" s="32">
        <v>550</v>
      </c>
      <c r="Q37" s="29">
        <v>22</v>
      </c>
      <c r="R37" s="32">
        <v>110</v>
      </c>
      <c r="S37" s="32">
        <v>2420</v>
      </c>
      <c r="U37" s="29">
        <v>23</v>
      </c>
      <c r="V37" s="32">
        <v>110</v>
      </c>
      <c r="W37" s="32">
        <v>2530</v>
      </c>
      <c r="Y37" s="29"/>
      <c r="Z37" s="32"/>
      <c r="AA37" s="32">
        <f t="shared" si="5"/>
        <v>0</v>
      </c>
    </row>
    <row r="38" spans="1:27">
      <c r="A38" s="14"/>
      <c r="B38" s="31"/>
      <c r="C38" s="28"/>
      <c r="D38" s="67"/>
      <c r="E38" s="29"/>
      <c r="F38" s="32"/>
      <c r="G38" s="40">
        <f t="shared" si="0"/>
        <v>0</v>
      </c>
      <c r="H38" s="67"/>
      <c r="I38" s="29"/>
      <c r="J38" s="32"/>
      <c r="K38" s="32">
        <f t="shared" si="1"/>
        <v>0</v>
      </c>
      <c r="M38" s="29"/>
      <c r="N38" s="32"/>
      <c r="O38" s="32">
        <f t="shared" si="2"/>
        <v>0</v>
      </c>
      <c r="Q38" s="29"/>
      <c r="R38" s="32"/>
      <c r="S38" s="32">
        <f t="shared" si="3"/>
        <v>0</v>
      </c>
      <c r="U38" s="29"/>
      <c r="V38" s="32"/>
      <c r="W38" s="32">
        <f t="shared" si="4"/>
        <v>0</v>
      </c>
      <c r="Y38" s="29"/>
      <c r="Z38" s="32"/>
      <c r="AA38" s="32">
        <f t="shared" si="5"/>
        <v>0</v>
      </c>
    </row>
    <row r="39" spans="1:27">
      <c r="A39" s="14"/>
      <c r="B39" s="31"/>
      <c r="C39" s="28" t="s">
        <v>1034</v>
      </c>
      <c r="D39" s="67" t="s">
        <v>6</v>
      </c>
      <c r="E39" s="29"/>
      <c r="F39" s="32"/>
      <c r="G39" s="40">
        <f t="shared" si="0"/>
        <v>1500</v>
      </c>
      <c r="H39" s="67"/>
      <c r="I39" s="29"/>
      <c r="J39" s="32"/>
      <c r="K39" s="32">
        <f t="shared" si="1"/>
        <v>0</v>
      </c>
      <c r="M39" s="29"/>
      <c r="N39" s="32"/>
      <c r="O39" s="32">
        <f t="shared" si="2"/>
        <v>0</v>
      </c>
      <c r="Q39" s="29"/>
      <c r="R39" s="32"/>
      <c r="S39" s="32">
        <f t="shared" si="3"/>
        <v>0</v>
      </c>
      <c r="U39" s="29">
        <v>1</v>
      </c>
      <c r="V39" s="32">
        <v>1500</v>
      </c>
      <c r="W39" s="32">
        <v>1500</v>
      </c>
      <c r="Y39" s="29"/>
      <c r="Z39" s="32"/>
      <c r="AA39" s="32">
        <f t="shared" si="5"/>
        <v>0</v>
      </c>
    </row>
    <row r="40" spans="1:27">
      <c r="A40" s="35"/>
      <c r="B40" s="27"/>
      <c r="C40" s="36"/>
      <c r="D40" s="68"/>
      <c r="E40" s="37"/>
      <c r="F40" s="33"/>
      <c r="G40" s="34"/>
      <c r="H40" s="68"/>
      <c r="I40" s="37"/>
      <c r="J40" s="33"/>
      <c r="K40" s="34"/>
      <c r="M40" s="37"/>
      <c r="N40" s="33"/>
      <c r="O40" s="34"/>
      <c r="Q40" s="37"/>
      <c r="R40" s="33"/>
      <c r="S40" s="34"/>
      <c r="U40" s="37"/>
      <c r="V40" s="33"/>
      <c r="W40" s="34"/>
      <c r="Y40" s="37"/>
      <c r="Z40" s="33"/>
      <c r="AA40" s="34"/>
    </row>
    <row r="41" spans="1:27">
      <c r="A41" s="14"/>
      <c r="B41" s="31"/>
      <c r="C41" s="38"/>
      <c r="D41" s="69"/>
      <c r="E41" s="37"/>
      <c r="F41" s="30"/>
      <c r="G41" s="34"/>
      <c r="H41" s="69"/>
      <c r="I41" s="37"/>
      <c r="J41" s="30"/>
      <c r="K41" s="34"/>
      <c r="M41" s="37"/>
      <c r="N41" s="30"/>
      <c r="O41" s="34"/>
      <c r="Q41" s="37"/>
      <c r="R41" s="30"/>
      <c r="S41" s="34"/>
      <c r="U41" s="37"/>
      <c r="V41" s="30"/>
      <c r="W41" s="34"/>
      <c r="Y41" s="37"/>
      <c r="Z41" s="30"/>
      <c r="AA41" s="34"/>
    </row>
    <row r="42" spans="1:27">
      <c r="A42" s="14"/>
      <c r="B42" s="31"/>
      <c r="C42" s="38"/>
      <c r="D42" s="69"/>
      <c r="E42" s="37"/>
      <c r="F42" s="30"/>
      <c r="G42" s="34"/>
      <c r="H42" s="69"/>
      <c r="I42" s="37"/>
      <c r="J42" s="30"/>
      <c r="K42" s="34"/>
      <c r="M42" s="37"/>
      <c r="N42" s="30"/>
      <c r="O42" s="34"/>
      <c r="Q42" s="37"/>
      <c r="R42" s="30"/>
      <c r="S42" s="34"/>
      <c r="U42" s="37"/>
      <c r="V42" s="30"/>
      <c r="W42" s="34"/>
      <c r="Y42" s="37"/>
      <c r="Z42" s="30"/>
      <c r="AA42" s="34"/>
    </row>
    <row r="43" spans="1:27" ht="6" customHeight="1">
      <c r="A43" s="70"/>
      <c r="B43" s="41"/>
      <c r="C43" s="42"/>
      <c r="D43" s="41"/>
      <c r="E43" s="41"/>
      <c r="F43" s="44"/>
      <c r="G43" s="44"/>
      <c r="H43" s="41"/>
      <c r="I43" s="43"/>
      <c r="J43" s="44"/>
      <c r="K43" s="44"/>
      <c r="L43" s="41"/>
      <c r="M43" s="43"/>
      <c r="N43" s="44"/>
      <c r="O43" s="44"/>
      <c r="P43" s="41"/>
      <c r="Q43" s="43"/>
      <c r="R43" s="44"/>
      <c r="S43" s="44"/>
      <c r="T43" s="41"/>
      <c r="U43" s="43"/>
      <c r="V43" s="44"/>
      <c r="W43" s="44"/>
      <c r="X43" s="41"/>
      <c r="Y43" s="43"/>
      <c r="Z43" s="44"/>
      <c r="AA43" s="44"/>
    </row>
    <row r="44" spans="1:27" s="56" customFormat="1">
      <c r="A44" s="71"/>
      <c r="B44" s="72"/>
      <c r="C44" s="53" t="s">
        <v>7</v>
      </c>
      <c r="D44" s="52"/>
      <c r="E44" s="52"/>
      <c r="F44" s="55"/>
      <c r="G44" s="55">
        <f>K44+O44+S44+W44+AA44</f>
        <v>77145</v>
      </c>
      <c r="H44" s="52"/>
      <c r="I44" s="54"/>
      <c r="J44" s="55"/>
      <c r="K44" s="55">
        <f>SUM(K6:K42)</f>
        <v>10409</v>
      </c>
      <c r="L44" s="52"/>
      <c r="M44" s="54"/>
      <c r="N44" s="55"/>
      <c r="O44" s="55">
        <f>SUM(O6:O42)</f>
        <v>15863</v>
      </c>
      <c r="P44" s="52"/>
      <c r="Q44" s="54"/>
      <c r="R44" s="55"/>
      <c r="S44" s="55">
        <f>SUM(S6:S42)</f>
        <v>18942</v>
      </c>
      <c r="T44" s="52"/>
      <c r="U44" s="54"/>
      <c r="V44" s="55"/>
      <c r="W44" s="55">
        <f>SUM(W6:W42)</f>
        <v>30431</v>
      </c>
      <c r="X44" s="52"/>
      <c r="Y44" s="54"/>
      <c r="Z44" s="55"/>
      <c r="AA44" s="55">
        <f>SUM(AA6:AA42)</f>
        <v>1500</v>
      </c>
    </row>
    <row r="45" spans="1:27" s="56" customFormat="1">
      <c r="A45" s="71"/>
      <c r="B45" s="72"/>
      <c r="C45" s="53" t="s">
        <v>8</v>
      </c>
      <c r="D45" s="52"/>
      <c r="E45" s="52"/>
      <c r="F45" s="55"/>
      <c r="G45" s="55">
        <f>G44*0.2</f>
        <v>15429</v>
      </c>
      <c r="H45" s="52"/>
      <c r="I45" s="54"/>
      <c r="J45" s="55"/>
      <c r="K45" s="55">
        <f>K44*0.2</f>
        <v>2081.8000000000002</v>
      </c>
      <c r="L45" s="52"/>
      <c r="M45" s="54"/>
      <c r="N45" s="55"/>
      <c r="O45" s="55">
        <f>O44*0.2</f>
        <v>3172.6000000000004</v>
      </c>
      <c r="P45" s="52"/>
      <c r="Q45" s="54"/>
      <c r="R45" s="55"/>
      <c r="S45" s="55">
        <f>S44*0.2</f>
        <v>3788.4</v>
      </c>
      <c r="T45" s="52"/>
      <c r="U45" s="54"/>
      <c r="V45" s="55"/>
      <c r="W45" s="55">
        <f>W44*0.2</f>
        <v>6086.2000000000007</v>
      </c>
      <c r="X45" s="52"/>
      <c r="Y45" s="54"/>
      <c r="Z45" s="55"/>
      <c r="AA45" s="55">
        <f>AA44*0.2</f>
        <v>300</v>
      </c>
    </row>
    <row r="46" spans="1:27" s="56" customFormat="1">
      <c r="A46" s="71"/>
      <c r="B46" s="72"/>
      <c r="C46" s="53" t="s">
        <v>9</v>
      </c>
      <c r="D46" s="52"/>
      <c r="E46" s="52"/>
      <c r="F46" s="55"/>
      <c r="G46" s="55">
        <f>G45+G44</f>
        <v>92574</v>
      </c>
      <c r="H46" s="52"/>
      <c r="I46" s="54"/>
      <c r="J46" s="55"/>
      <c r="K46" s="55">
        <f>K45+K44</f>
        <v>12490.8</v>
      </c>
      <c r="L46" s="52"/>
      <c r="M46" s="54"/>
      <c r="N46" s="55"/>
      <c r="O46" s="55">
        <f>O45+O44</f>
        <v>19035.599999999999</v>
      </c>
      <c r="P46" s="52"/>
      <c r="Q46" s="54"/>
      <c r="R46" s="55"/>
      <c r="S46" s="55">
        <f>S45+S44</f>
        <v>22730.400000000001</v>
      </c>
      <c r="T46" s="52"/>
      <c r="U46" s="54"/>
      <c r="V46" s="55"/>
      <c r="W46" s="55">
        <f>W45+W44</f>
        <v>36517.199999999997</v>
      </c>
      <c r="X46" s="52"/>
      <c r="Y46" s="54"/>
      <c r="Z46" s="55"/>
      <c r="AA46" s="55">
        <f>AA45+AA44</f>
        <v>1800</v>
      </c>
    </row>
    <row r="47" spans="1:27" ht="6.6" customHeight="1">
      <c r="A47" s="73"/>
      <c r="B47" s="74"/>
      <c r="C47" s="45"/>
      <c r="D47" s="46"/>
      <c r="E47" s="51"/>
      <c r="F47" s="48"/>
      <c r="G47" s="48"/>
      <c r="H47" s="46"/>
      <c r="I47" s="47"/>
      <c r="J47" s="48"/>
      <c r="K47" s="48"/>
      <c r="L47" s="49"/>
      <c r="M47" s="50"/>
      <c r="N47" s="48"/>
      <c r="O47" s="48"/>
      <c r="P47" s="49"/>
      <c r="Q47" s="50"/>
      <c r="R47" s="48"/>
      <c r="S47" s="48"/>
      <c r="T47" s="49"/>
      <c r="U47" s="50"/>
      <c r="V47" s="48"/>
      <c r="W47" s="48"/>
      <c r="X47" s="49"/>
      <c r="Y47" s="50"/>
      <c r="Z47" s="48"/>
      <c r="AA47" s="48"/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fitToHeight="0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AE327"/>
  <sheetViews>
    <sheetView showGridLines="0" view="pageBreakPreview" zoomScale="70" zoomScaleNormal="85" zoomScaleSheetLayoutView="70" workbookViewId="0">
      <pane ySplit="5" topLeftCell="A285" activePane="bottomLeft" state="frozen"/>
      <selection activeCell="C15" sqref="C15:I15"/>
      <selection pane="bottomLeft" activeCell="G308" sqref="G308"/>
    </sheetView>
  </sheetViews>
  <sheetFormatPr baseColWidth="10" defaultColWidth="11.44140625" defaultRowHeight="14.4"/>
  <cols>
    <col min="1" max="1" width="3.33203125" style="2" customWidth="1"/>
    <col min="2" max="2" width="3.33203125" style="3" customWidth="1"/>
    <col min="3" max="3" width="55.6640625" style="24" customWidth="1"/>
    <col min="4" max="4" width="4.5546875" style="1" bestFit="1" customWidth="1"/>
    <col min="5" max="5" width="7.88671875" style="1" customWidth="1"/>
    <col min="6" max="6" width="12" style="1" bestFit="1" customWidth="1"/>
    <col min="7" max="7" width="14.5546875" style="1" bestFit="1" customWidth="1"/>
    <col min="8" max="8" width="2.6640625" style="1" customWidth="1"/>
    <col min="9" max="9" width="7.5546875" style="1" bestFit="1" customWidth="1"/>
    <col min="10" max="10" width="14.6640625" style="1" bestFit="1" customWidth="1"/>
    <col min="11" max="11" width="14.5546875" style="1" customWidth="1"/>
    <col min="12" max="12" width="2.6640625" style="1" customWidth="1"/>
    <col min="13" max="13" width="7.5546875" style="1" bestFit="1" customWidth="1"/>
    <col min="14" max="14" width="11.44140625" style="1" bestFit="1" customWidth="1"/>
    <col min="15" max="15" width="14.5546875" style="1" customWidth="1"/>
    <col min="16" max="16" width="2.6640625" style="1" customWidth="1"/>
    <col min="17" max="17" width="7.5546875" style="1" bestFit="1" customWidth="1"/>
    <col min="18" max="18" width="11.44140625" style="1" bestFit="1" customWidth="1"/>
    <col min="19" max="19" width="14.5546875" style="1" customWidth="1"/>
    <col min="20" max="20" width="2.6640625" style="1" customWidth="1"/>
    <col min="21" max="21" width="7.5546875" style="1" bestFit="1" customWidth="1"/>
    <col min="22" max="22" width="11.44140625" style="1" bestFit="1" customWidth="1"/>
    <col min="23" max="23" width="14.5546875" style="1" customWidth="1"/>
    <col min="24" max="24" width="2.6640625" style="1" customWidth="1"/>
    <col min="25" max="25" width="7.5546875" style="1" bestFit="1" customWidth="1"/>
    <col min="26" max="26" width="11.44140625" style="1" bestFit="1" customWidth="1"/>
    <col min="27" max="27" width="14.5546875" style="1" customWidth="1"/>
    <col min="28" max="28" width="12.109375" style="1" bestFit="1" customWidth="1"/>
    <col min="29" max="29" width="11.44140625" style="1"/>
    <col min="30" max="30" width="15" style="1" customWidth="1"/>
    <col min="31" max="16384" width="11.44140625" style="1"/>
  </cols>
  <sheetData>
    <row r="1" spans="1:27" ht="23.25" customHeight="1">
      <c r="A1" s="566" t="s">
        <v>1108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8"/>
    </row>
    <row r="2" spans="1:27" ht="8.4" customHeight="1">
      <c r="A2" s="15"/>
      <c r="C2" s="3"/>
      <c r="D2" s="3"/>
      <c r="E2" s="3"/>
      <c r="F2" s="3"/>
      <c r="G2" s="2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23"/>
    </row>
    <row r="3" spans="1:27" ht="19.5" customHeight="1">
      <c r="A3" s="16"/>
      <c r="C3" s="203" t="str">
        <f>'Page de garde'!C15</f>
        <v>IND 00 du 10/06/2025</v>
      </c>
      <c r="E3" s="569" t="s">
        <v>12</v>
      </c>
      <c r="F3" s="570"/>
      <c r="G3" s="571"/>
      <c r="I3" s="572" t="s">
        <v>30</v>
      </c>
      <c r="J3" s="573"/>
      <c r="K3" s="574"/>
      <c r="M3" s="572" t="s">
        <v>31</v>
      </c>
      <c r="N3" s="573"/>
      <c r="O3" s="574"/>
      <c r="Q3" s="572" t="s">
        <v>33</v>
      </c>
      <c r="R3" s="573"/>
      <c r="S3" s="574"/>
      <c r="U3" s="572" t="s">
        <v>34</v>
      </c>
      <c r="V3" s="573"/>
      <c r="W3" s="574"/>
      <c r="Y3" s="572" t="s">
        <v>35</v>
      </c>
      <c r="Z3" s="573"/>
      <c r="AA3" s="574"/>
    </row>
    <row r="4" spans="1:27" ht="19.5" customHeight="1">
      <c r="A4" s="16"/>
      <c r="E4" s="76"/>
      <c r="F4" s="77"/>
      <c r="G4" s="78" t="s">
        <v>11</v>
      </c>
      <c r="I4" s="57"/>
      <c r="J4" s="58"/>
      <c r="K4" s="59" t="s">
        <v>11</v>
      </c>
      <c r="M4" s="60"/>
      <c r="N4" s="58"/>
      <c r="O4" s="59" t="s">
        <v>11</v>
      </c>
      <c r="Q4" s="60"/>
      <c r="R4" s="58"/>
      <c r="S4" s="59" t="s">
        <v>11</v>
      </c>
      <c r="U4" s="60"/>
      <c r="V4" s="58"/>
      <c r="W4" s="59" t="s">
        <v>11</v>
      </c>
      <c r="Y4" s="60"/>
      <c r="Z4" s="58"/>
      <c r="AA4" s="59" t="s">
        <v>11</v>
      </c>
    </row>
    <row r="5" spans="1:27" s="17" customFormat="1" ht="24">
      <c r="A5" s="565" t="s">
        <v>1</v>
      </c>
      <c r="B5" s="565"/>
      <c r="C5" s="25" t="s">
        <v>2</v>
      </c>
      <c r="D5" s="18" t="s">
        <v>0</v>
      </c>
      <c r="E5" s="79" t="s">
        <v>3</v>
      </c>
      <c r="F5" s="79" t="s">
        <v>4</v>
      </c>
      <c r="G5" s="79" t="s">
        <v>5</v>
      </c>
      <c r="H5" s="18"/>
      <c r="I5" s="19" t="s">
        <v>3</v>
      </c>
      <c r="J5" s="19" t="s">
        <v>4</v>
      </c>
      <c r="K5" s="19" t="s">
        <v>5</v>
      </c>
      <c r="L5" s="20"/>
      <c r="M5" s="19" t="s">
        <v>3</v>
      </c>
      <c r="N5" s="19" t="s">
        <v>4</v>
      </c>
      <c r="O5" s="19" t="s">
        <v>5</v>
      </c>
      <c r="P5" s="20"/>
      <c r="Q5" s="19" t="s">
        <v>3</v>
      </c>
      <c r="R5" s="19" t="s">
        <v>4</v>
      </c>
      <c r="S5" s="19" t="s">
        <v>5</v>
      </c>
      <c r="T5" s="20"/>
      <c r="U5" s="19" t="s">
        <v>3</v>
      </c>
      <c r="V5" s="19" t="s">
        <v>4</v>
      </c>
      <c r="W5" s="19" t="s">
        <v>5</v>
      </c>
      <c r="X5" s="20"/>
      <c r="Y5" s="19" t="s">
        <v>3</v>
      </c>
      <c r="Z5" s="19" t="s">
        <v>4</v>
      </c>
      <c r="AA5" s="19" t="s">
        <v>5</v>
      </c>
    </row>
    <row r="6" spans="1:27">
      <c r="A6" s="463"/>
      <c r="B6" s="464"/>
      <c r="C6" s="465" t="s">
        <v>1054</v>
      </c>
      <c r="D6" s="466"/>
      <c r="E6" s="467"/>
      <c r="F6" s="468"/>
      <c r="G6" s="469"/>
      <c r="H6" s="466"/>
      <c r="I6" s="470"/>
      <c r="J6" s="468"/>
      <c r="K6" s="469"/>
      <c r="L6" s="471"/>
      <c r="M6" s="470"/>
      <c r="N6" s="468"/>
      <c r="O6" s="469"/>
      <c r="P6" s="471"/>
      <c r="Q6" s="470"/>
      <c r="R6" s="468"/>
      <c r="S6" s="469"/>
      <c r="T6" s="471"/>
      <c r="U6" s="470"/>
      <c r="V6" s="468"/>
      <c r="W6" s="469"/>
      <c r="X6" s="471"/>
      <c r="Y6" s="470"/>
      <c r="Z6" s="468"/>
      <c r="AA6" s="469"/>
    </row>
    <row r="7" spans="1:27">
      <c r="A7" s="14"/>
      <c r="B7" s="62" t="s">
        <v>19</v>
      </c>
      <c r="C7" s="173" t="s">
        <v>322</v>
      </c>
      <c r="D7" s="174"/>
      <c r="E7" s="175"/>
      <c r="F7" s="176"/>
      <c r="G7" s="176"/>
      <c r="H7" s="177"/>
      <c r="I7" s="178"/>
      <c r="J7" s="179"/>
      <c r="K7" s="180"/>
      <c r="L7" s="180"/>
      <c r="M7" s="179"/>
      <c r="N7" s="179"/>
      <c r="O7" s="180"/>
      <c r="P7" s="180"/>
      <c r="Q7" s="179"/>
      <c r="R7" s="179"/>
      <c r="S7" s="180"/>
      <c r="T7" s="180"/>
      <c r="U7" s="179"/>
      <c r="V7" s="179"/>
      <c r="W7" s="180"/>
      <c r="X7" s="180"/>
      <c r="Y7" s="179"/>
      <c r="Z7" s="179"/>
      <c r="AA7" s="180"/>
    </row>
    <row r="8" spans="1:27">
      <c r="A8" s="14"/>
      <c r="B8" s="31"/>
      <c r="C8" s="190" t="s">
        <v>224</v>
      </c>
      <c r="D8" s="164" t="s">
        <v>6</v>
      </c>
      <c r="E8" s="29">
        <f t="shared" ref="E8:E11" si="0">I8+M8+Q8+U8+Y8</f>
        <v>5</v>
      </c>
      <c r="F8" s="32">
        <v>3903.34</v>
      </c>
      <c r="G8" s="32">
        <f t="shared" ref="G8:G11" si="1">K8+O8+S8+W8+AA8</f>
        <v>19516.7</v>
      </c>
      <c r="H8" s="67"/>
      <c r="I8" s="161">
        <v>1</v>
      </c>
      <c r="J8" s="32">
        <v>3903.34</v>
      </c>
      <c r="K8" s="163">
        <f>J8*I8</f>
        <v>3903.34</v>
      </c>
      <c r="L8" s="163"/>
      <c r="M8" s="164">
        <v>1</v>
      </c>
      <c r="N8" s="32">
        <v>3903.34</v>
      </c>
      <c r="O8" s="163">
        <f>N8*M8</f>
        <v>3903.34</v>
      </c>
      <c r="P8" s="163"/>
      <c r="Q8" s="164">
        <v>1</v>
      </c>
      <c r="R8" s="32">
        <v>3903.34</v>
      </c>
      <c r="S8" s="163">
        <f>R8*Q8</f>
        <v>3903.34</v>
      </c>
      <c r="T8" s="163"/>
      <c r="U8" s="164">
        <v>1</v>
      </c>
      <c r="V8" s="32">
        <v>3903.34</v>
      </c>
      <c r="W8" s="163">
        <f>V8*U8</f>
        <v>3903.34</v>
      </c>
      <c r="X8" s="163"/>
      <c r="Y8" s="164">
        <v>1</v>
      </c>
      <c r="Z8" s="32">
        <v>3903.34</v>
      </c>
      <c r="AA8" s="163">
        <f>Z8*Y8</f>
        <v>3903.34</v>
      </c>
    </row>
    <row r="9" spans="1:27">
      <c r="A9" s="14"/>
      <c r="B9" s="31"/>
      <c r="C9" s="190" t="s">
        <v>225</v>
      </c>
      <c r="D9" s="166" t="s">
        <v>6</v>
      </c>
      <c r="E9" s="29">
        <f t="shared" si="0"/>
        <v>5</v>
      </c>
      <c r="F9" s="32">
        <v>201.28800000000001</v>
      </c>
      <c r="G9" s="32">
        <f t="shared" si="1"/>
        <v>1006.44</v>
      </c>
      <c r="H9" s="67"/>
      <c r="I9" s="161">
        <v>1</v>
      </c>
      <c r="J9" s="32">
        <v>201.28800000000001</v>
      </c>
      <c r="K9" s="163">
        <f t="shared" ref="K9:K11" si="2">J9*I9</f>
        <v>201.28800000000001</v>
      </c>
      <c r="L9" s="163"/>
      <c r="M9" s="162">
        <v>1</v>
      </c>
      <c r="N9" s="32">
        <v>201.28800000000001</v>
      </c>
      <c r="O9" s="163">
        <f t="shared" ref="O9:O11" si="3">N9*M9</f>
        <v>201.28800000000001</v>
      </c>
      <c r="P9" s="163"/>
      <c r="Q9" s="162">
        <v>1</v>
      </c>
      <c r="R9" s="32">
        <v>201.28800000000001</v>
      </c>
      <c r="S9" s="163">
        <f t="shared" ref="S9:S11" si="4">R9*Q9</f>
        <v>201.28800000000001</v>
      </c>
      <c r="T9" s="163"/>
      <c r="U9" s="162">
        <v>1</v>
      </c>
      <c r="V9" s="32">
        <v>201.28800000000001</v>
      </c>
      <c r="W9" s="163">
        <f t="shared" ref="W9:W11" si="5">V9*U9</f>
        <v>201.28800000000001</v>
      </c>
      <c r="X9" s="163"/>
      <c r="Y9" s="162">
        <v>1</v>
      </c>
      <c r="Z9" s="32">
        <v>201.28800000000001</v>
      </c>
      <c r="AA9" s="163">
        <f t="shared" ref="AA9:AA11" si="6">Z9*Y9</f>
        <v>201.28800000000001</v>
      </c>
    </row>
    <row r="10" spans="1:27" ht="27.6">
      <c r="A10" s="35"/>
      <c r="B10" s="27"/>
      <c r="C10" s="168" t="s">
        <v>226</v>
      </c>
      <c r="D10" s="166" t="s">
        <v>6</v>
      </c>
      <c r="E10" s="29">
        <f t="shared" si="0"/>
        <v>5</v>
      </c>
      <c r="F10" s="32">
        <v>334.57</v>
      </c>
      <c r="G10" s="32">
        <f t="shared" si="1"/>
        <v>1672.85</v>
      </c>
      <c r="H10" s="68"/>
      <c r="I10" s="161">
        <v>1</v>
      </c>
      <c r="J10" s="32">
        <v>334.57</v>
      </c>
      <c r="K10" s="163">
        <f t="shared" si="2"/>
        <v>334.57</v>
      </c>
      <c r="L10" s="163"/>
      <c r="M10" s="162">
        <v>1</v>
      </c>
      <c r="N10" s="32">
        <v>334.57</v>
      </c>
      <c r="O10" s="163">
        <f t="shared" si="3"/>
        <v>334.57</v>
      </c>
      <c r="P10" s="163"/>
      <c r="Q10" s="162">
        <v>1</v>
      </c>
      <c r="R10" s="32">
        <v>334.57</v>
      </c>
      <c r="S10" s="163">
        <f t="shared" si="4"/>
        <v>334.57</v>
      </c>
      <c r="T10" s="163"/>
      <c r="U10" s="162">
        <v>1</v>
      </c>
      <c r="V10" s="32">
        <v>334.57</v>
      </c>
      <c r="W10" s="163">
        <f t="shared" si="5"/>
        <v>334.57</v>
      </c>
      <c r="X10" s="163"/>
      <c r="Y10" s="162">
        <v>1</v>
      </c>
      <c r="Z10" s="32">
        <v>334.57</v>
      </c>
      <c r="AA10" s="163">
        <f t="shared" si="6"/>
        <v>334.57</v>
      </c>
    </row>
    <row r="11" spans="1:27">
      <c r="A11" s="35"/>
      <c r="B11" s="27"/>
      <c r="C11" s="168" t="s">
        <v>227</v>
      </c>
      <c r="D11" s="166" t="s">
        <v>6</v>
      </c>
      <c r="E11" s="29">
        <f t="shared" si="0"/>
        <v>5</v>
      </c>
      <c r="F11" s="32">
        <v>1508.4</v>
      </c>
      <c r="G11" s="32">
        <f t="shared" si="1"/>
        <v>7542</v>
      </c>
      <c r="H11" s="68"/>
      <c r="I11" s="161">
        <v>1</v>
      </c>
      <c r="J11" s="32">
        <v>1508.4</v>
      </c>
      <c r="K11" s="163">
        <f t="shared" si="2"/>
        <v>1508.4</v>
      </c>
      <c r="L11" s="163"/>
      <c r="M11" s="162">
        <v>1</v>
      </c>
      <c r="N11" s="32">
        <v>1508.4</v>
      </c>
      <c r="O11" s="163">
        <f t="shared" si="3"/>
        <v>1508.4</v>
      </c>
      <c r="P11" s="163"/>
      <c r="Q11" s="162">
        <v>1</v>
      </c>
      <c r="R11" s="32">
        <v>1508.4</v>
      </c>
      <c r="S11" s="163">
        <f t="shared" si="4"/>
        <v>1508.4</v>
      </c>
      <c r="T11" s="163"/>
      <c r="U11" s="162">
        <v>1</v>
      </c>
      <c r="V11" s="32">
        <v>1508.4</v>
      </c>
      <c r="W11" s="163">
        <f t="shared" si="5"/>
        <v>1508.4</v>
      </c>
      <c r="X11" s="163"/>
      <c r="Y11" s="162">
        <v>1</v>
      </c>
      <c r="Z11" s="32">
        <v>1508.4</v>
      </c>
      <c r="AA11" s="163">
        <f t="shared" si="6"/>
        <v>1508.4</v>
      </c>
    </row>
    <row r="12" spans="1:27">
      <c r="A12" s="35"/>
      <c r="B12" s="31"/>
      <c r="C12" s="168"/>
      <c r="D12" s="164"/>
      <c r="E12" s="29"/>
      <c r="F12" s="33"/>
      <c r="G12" s="34"/>
      <c r="H12" s="67"/>
      <c r="I12" s="161"/>
      <c r="J12" s="163"/>
      <c r="K12" s="163"/>
      <c r="L12" s="163"/>
      <c r="M12" s="162"/>
      <c r="N12" s="163"/>
      <c r="O12" s="163"/>
      <c r="P12" s="163"/>
      <c r="Q12" s="162"/>
      <c r="R12" s="163"/>
      <c r="S12" s="163"/>
      <c r="T12" s="163"/>
      <c r="U12" s="162"/>
      <c r="V12" s="163"/>
      <c r="W12" s="163"/>
      <c r="X12" s="163"/>
      <c r="Y12" s="162"/>
      <c r="Z12" s="163"/>
      <c r="AA12" s="163"/>
    </row>
    <row r="13" spans="1:27">
      <c r="A13" s="35"/>
      <c r="B13" s="31"/>
      <c r="C13" s="172" t="s">
        <v>312</v>
      </c>
      <c r="D13" s="164"/>
      <c r="E13" s="29"/>
      <c r="F13" s="33" t="s">
        <v>10</v>
      </c>
      <c r="G13" s="182">
        <f>K13+O13+S13+W13+AA13</f>
        <v>29737.989999999998</v>
      </c>
      <c r="H13" s="67"/>
      <c r="I13" s="161"/>
      <c r="J13" s="33" t="s">
        <v>10</v>
      </c>
      <c r="K13" s="34">
        <f>SUM(K7:K12)</f>
        <v>5947.598</v>
      </c>
      <c r="L13" s="163"/>
      <c r="M13" s="162"/>
      <c r="N13" s="163"/>
      <c r="O13" s="34">
        <f>SUM(O7:O12)</f>
        <v>5947.598</v>
      </c>
      <c r="P13" s="163"/>
      <c r="Q13" s="162"/>
      <c r="R13" s="163"/>
      <c r="S13" s="34">
        <f>SUM(S7:S12)</f>
        <v>5947.598</v>
      </c>
      <c r="T13" s="163"/>
      <c r="U13" s="162"/>
      <c r="V13" s="163"/>
      <c r="W13" s="34">
        <f>SUM(W7:W12)</f>
        <v>5947.598</v>
      </c>
      <c r="X13" s="163"/>
      <c r="Y13" s="162"/>
      <c r="Z13" s="163"/>
      <c r="AA13" s="34">
        <f>SUM(AA7:AA12)</f>
        <v>5947.598</v>
      </c>
    </row>
    <row r="14" spans="1:27">
      <c r="A14" s="35"/>
      <c r="B14" s="31"/>
      <c r="C14" s="168"/>
      <c r="D14" s="164"/>
      <c r="E14" s="29"/>
      <c r="F14" s="33"/>
      <c r="G14" s="34"/>
      <c r="H14" s="67"/>
      <c r="I14" s="161"/>
      <c r="J14" s="163"/>
      <c r="K14" s="163"/>
      <c r="L14" s="163"/>
      <c r="M14" s="162"/>
      <c r="N14" s="163"/>
      <c r="O14" s="163"/>
      <c r="P14" s="163"/>
      <c r="Q14" s="162"/>
      <c r="R14" s="163"/>
      <c r="S14" s="163"/>
      <c r="T14" s="163"/>
      <c r="U14" s="162"/>
      <c r="V14" s="163"/>
      <c r="W14" s="163"/>
      <c r="X14" s="163"/>
      <c r="Y14" s="162"/>
      <c r="Z14" s="163"/>
      <c r="AA14" s="163"/>
    </row>
    <row r="15" spans="1:27">
      <c r="A15" s="35"/>
      <c r="B15" s="31"/>
      <c r="C15" s="169"/>
      <c r="D15" s="166"/>
      <c r="E15" s="29"/>
      <c r="F15" s="32"/>
      <c r="G15" s="32"/>
      <c r="H15" s="67"/>
      <c r="I15" s="161"/>
      <c r="J15" s="163"/>
      <c r="K15" s="163"/>
      <c r="L15" s="163"/>
      <c r="M15" s="162"/>
      <c r="N15" s="163"/>
      <c r="O15" s="163"/>
      <c r="P15" s="163"/>
      <c r="Q15" s="162"/>
      <c r="R15" s="163"/>
      <c r="S15" s="163"/>
      <c r="T15" s="163"/>
      <c r="U15" s="162"/>
      <c r="V15" s="163"/>
      <c r="W15" s="163"/>
      <c r="X15" s="163"/>
      <c r="Y15" s="162"/>
      <c r="Z15" s="163"/>
      <c r="AA15" s="163"/>
    </row>
    <row r="16" spans="1:27">
      <c r="A16" s="14"/>
      <c r="B16" s="62" t="s">
        <v>20</v>
      </c>
      <c r="C16" s="181" t="s">
        <v>321</v>
      </c>
      <c r="D16" s="174"/>
      <c r="E16" s="175"/>
      <c r="F16" s="176"/>
      <c r="G16" s="176"/>
      <c r="H16" s="177"/>
      <c r="I16" s="178"/>
      <c r="J16" s="180"/>
      <c r="K16" s="180"/>
      <c r="L16" s="180"/>
      <c r="M16" s="179"/>
      <c r="N16" s="180"/>
      <c r="O16" s="180"/>
      <c r="P16" s="180"/>
      <c r="Q16" s="179"/>
      <c r="R16" s="180"/>
      <c r="S16" s="180"/>
      <c r="T16" s="180"/>
      <c r="U16" s="179"/>
      <c r="V16" s="180"/>
      <c r="W16" s="180"/>
      <c r="X16" s="180"/>
      <c r="Y16" s="179"/>
      <c r="Z16" s="180"/>
      <c r="AA16" s="180"/>
    </row>
    <row r="17" spans="1:30">
      <c r="A17" s="14"/>
      <c r="B17" s="31"/>
      <c r="C17" s="168" t="s">
        <v>228</v>
      </c>
      <c r="D17" s="166" t="s">
        <v>6</v>
      </c>
      <c r="E17" s="29">
        <f t="shared" ref="E17:E21" si="7">I17+M17+Q17+U17+Y17</f>
        <v>5</v>
      </c>
      <c r="F17" s="32">
        <v>759.87300000000005</v>
      </c>
      <c r="G17" s="32">
        <f t="shared" ref="G17:G21" si="8">K17+O17+S17+W17+AA17</f>
        <v>3799.3650000000002</v>
      </c>
      <c r="H17" s="67"/>
      <c r="I17" s="161">
        <v>1</v>
      </c>
      <c r="J17" s="163">
        <v>759.87300000000005</v>
      </c>
      <c r="K17" s="163">
        <f t="shared" ref="K17:K21" si="9">J17*I17</f>
        <v>759.87300000000005</v>
      </c>
      <c r="L17" s="163"/>
      <c r="M17" s="162">
        <v>1</v>
      </c>
      <c r="N17" s="163">
        <v>759.87300000000005</v>
      </c>
      <c r="O17" s="163">
        <f t="shared" ref="O17:O21" si="10">N17*M17</f>
        <v>759.87300000000005</v>
      </c>
      <c r="P17" s="163"/>
      <c r="Q17" s="162">
        <v>1</v>
      </c>
      <c r="R17" s="163">
        <v>759.87300000000005</v>
      </c>
      <c r="S17" s="163">
        <f t="shared" ref="S17:S21" si="11">R17*Q17</f>
        <v>759.87300000000005</v>
      </c>
      <c r="T17" s="163"/>
      <c r="U17" s="162">
        <v>1</v>
      </c>
      <c r="V17" s="163">
        <v>759.87300000000005</v>
      </c>
      <c r="W17" s="163">
        <f t="shared" ref="W17:W21" si="12">V17*U17</f>
        <v>759.87300000000005</v>
      </c>
      <c r="X17" s="163"/>
      <c r="Y17" s="162">
        <v>1</v>
      </c>
      <c r="Z17" s="163">
        <v>759.87300000000005</v>
      </c>
      <c r="AA17" s="163">
        <f t="shared" ref="AA17:AA21" si="13">Z17*Y17</f>
        <v>759.87300000000005</v>
      </c>
    </row>
    <row r="18" spans="1:30">
      <c r="A18" s="14"/>
      <c r="B18" s="31"/>
      <c r="C18" s="168" t="s">
        <v>229</v>
      </c>
      <c r="D18" s="166" t="s">
        <v>230</v>
      </c>
      <c r="E18" s="29"/>
      <c r="F18" s="32"/>
      <c r="G18" s="32">
        <f t="shared" si="8"/>
        <v>0</v>
      </c>
      <c r="H18" s="67"/>
      <c r="I18" s="161">
        <v>1</v>
      </c>
      <c r="J18" s="163"/>
      <c r="K18" s="163">
        <f t="shared" si="9"/>
        <v>0</v>
      </c>
      <c r="L18" s="163"/>
      <c r="M18" s="162"/>
      <c r="N18" s="163"/>
      <c r="O18" s="163">
        <f t="shared" si="10"/>
        <v>0</v>
      </c>
      <c r="P18" s="163"/>
      <c r="Q18" s="162"/>
      <c r="R18" s="163"/>
      <c r="S18" s="163">
        <f t="shared" si="11"/>
        <v>0</v>
      </c>
      <c r="T18" s="163"/>
      <c r="U18" s="162"/>
      <c r="V18" s="163"/>
      <c r="W18" s="163">
        <f t="shared" si="12"/>
        <v>0</v>
      </c>
      <c r="X18" s="163"/>
      <c r="Y18" s="162"/>
      <c r="Z18" s="163"/>
      <c r="AA18" s="163">
        <f t="shared" si="13"/>
        <v>0</v>
      </c>
    </row>
    <row r="19" spans="1:30">
      <c r="A19" s="35"/>
      <c r="B19" s="27"/>
      <c r="C19" s="168" t="s">
        <v>231</v>
      </c>
      <c r="D19" s="166" t="s">
        <v>69</v>
      </c>
      <c r="E19" s="29">
        <f t="shared" si="7"/>
        <v>5</v>
      </c>
      <c r="F19" s="32">
        <v>227.648</v>
      </c>
      <c r="G19" s="32">
        <f t="shared" si="8"/>
        <v>1138.24</v>
      </c>
      <c r="H19" s="68"/>
      <c r="I19" s="161">
        <v>1</v>
      </c>
      <c r="J19" s="163">
        <v>227.648</v>
      </c>
      <c r="K19" s="163">
        <f t="shared" si="9"/>
        <v>227.648</v>
      </c>
      <c r="L19" s="163"/>
      <c r="M19" s="166" t="s">
        <v>223</v>
      </c>
      <c r="N19" s="163">
        <v>227.648</v>
      </c>
      <c r="O19" s="163">
        <f t="shared" si="10"/>
        <v>227.648</v>
      </c>
      <c r="P19" s="163"/>
      <c r="Q19" s="166" t="s">
        <v>223</v>
      </c>
      <c r="R19" s="163">
        <v>227.648</v>
      </c>
      <c r="S19" s="163">
        <f t="shared" si="11"/>
        <v>227.648</v>
      </c>
      <c r="T19" s="163"/>
      <c r="U19" s="166" t="s">
        <v>223</v>
      </c>
      <c r="V19" s="163">
        <v>227.648</v>
      </c>
      <c r="W19" s="163">
        <f t="shared" si="12"/>
        <v>227.648</v>
      </c>
      <c r="X19" s="163"/>
      <c r="Y19" s="166" t="s">
        <v>223</v>
      </c>
      <c r="Z19" s="163">
        <v>227.648</v>
      </c>
      <c r="AA19" s="163">
        <f t="shared" si="13"/>
        <v>227.648</v>
      </c>
    </row>
    <row r="20" spans="1:30">
      <c r="A20" s="35"/>
      <c r="B20" s="27"/>
      <c r="C20" s="168" t="s">
        <v>232</v>
      </c>
      <c r="D20" s="164" t="s">
        <v>6</v>
      </c>
      <c r="E20" s="29">
        <f t="shared" si="7"/>
        <v>5</v>
      </c>
      <c r="F20" s="32">
        <v>380.86200000000002</v>
      </c>
      <c r="G20" s="32">
        <f t="shared" si="8"/>
        <v>1904.3100000000002</v>
      </c>
      <c r="H20" s="68"/>
      <c r="I20" s="161">
        <v>1</v>
      </c>
      <c r="J20" s="163">
        <v>380.86200000000002</v>
      </c>
      <c r="K20" s="163">
        <f t="shared" si="9"/>
        <v>380.86200000000002</v>
      </c>
      <c r="L20" s="163"/>
      <c r="M20" s="164">
        <v>1</v>
      </c>
      <c r="N20" s="163">
        <v>380.86200000000002</v>
      </c>
      <c r="O20" s="163">
        <f t="shared" si="10"/>
        <v>380.86200000000002</v>
      </c>
      <c r="P20" s="163"/>
      <c r="Q20" s="164">
        <v>1</v>
      </c>
      <c r="R20" s="163">
        <v>380.86200000000002</v>
      </c>
      <c r="S20" s="163">
        <f t="shared" si="11"/>
        <v>380.86200000000002</v>
      </c>
      <c r="T20" s="163"/>
      <c r="U20" s="164">
        <v>1</v>
      </c>
      <c r="V20" s="163">
        <v>380.86200000000002</v>
      </c>
      <c r="W20" s="163">
        <f t="shared" si="12"/>
        <v>380.86200000000002</v>
      </c>
      <c r="X20" s="163"/>
      <c r="Y20" s="164">
        <v>1</v>
      </c>
      <c r="Z20" s="163">
        <v>380.86200000000002</v>
      </c>
      <c r="AA20" s="163">
        <f t="shared" si="13"/>
        <v>380.86200000000002</v>
      </c>
    </row>
    <row r="21" spans="1:30">
      <c r="A21" s="35"/>
      <c r="B21" s="27"/>
      <c r="C21" s="190" t="s">
        <v>606</v>
      </c>
      <c r="D21" s="164" t="s">
        <v>6</v>
      </c>
      <c r="E21" s="29">
        <f t="shared" si="7"/>
        <v>5</v>
      </c>
      <c r="F21" s="32">
        <v>315.53199999999998</v>
      </c>
      <c r="G21" s="32">
        <f t="shared" si="8"/>
        <v>1577.6599999999999</v>
      </c>
      <c r="H21" s="67"/>
      <c r="I21" s="161">
        <v>1</v>
      </c>
      <c r="J21" s="163">
        <v>315.53199999999998</v>
      </c>
      <c r="K21" s="163">
        <f t="shared" si="9"/>
        <v>315.53199999999998</v>
      </c>
      <c r="L21" s="163"/>
      <c r="M21" s="164">
        <v>1</v>
      </c>
      <c r="N21" s="163">
        <v>315.53199999999998</v>
      </c>
      <c r="O21" s="163">
        <f t="shared" si="10"/>
        <v>315.53199999999998</v>
      </c>
      <c r="P21" s="163"/>
      <c r="Q21" s="164">
        <v>1</v>
      </c>
      <c r="R21" s="163">
        <v>315.53199999999998</v>
      </c>
      <c r="S21" s="163">
        <f t="shared" si="11"/>
        <v>315.53199999999998</v>
      </c>
      <c r="T21" s="163"/>
      <c r="U21" s="164">
        <v>1</v>
      </c>
      <c r="V21" s="163">
        <v>315.53199999999998</v>
      </c>
      <c r="W21" s="163">
        <f t="shared" si="12"/>
        <v>315.53199999999998</v>
      </c>
      <c r="X21" s="163"/>
      <c r="Y21" s="164">
        <v>1</v>
      </c>
      <c r="Z21" s="163">
        <v>315.53199999999998</v>
      </c>
      <c r="AA21" s="163">
        <f t="shared" si="13"/>
        <v>315.53199999999998</v>
      </c>
    </row>
    <row r="22" spans="1:30">
      <c r="A22" s="35"/>
      <c r="B22" s="27"/>
      <c r="C22" s="190"/>
      <c r="D22" s="164"/>
      <c r="E22" s="29"/>
      <c r="F22" s="33"/>
      <c r="G22" s="34"/>
      <c r="H22" s="67"/>
      <c r="I22" s="161"/>
      <c r="J22" s="163"/>
      <c r="K22" s="163"/>
      <c r="L22" s="163"/>
      <c r="M22" s="162"/>
      <c r="N22" s="163"/>
      <c r="O22" s="163"/>
      <c r="P22" s="163"/>
      <c r="Q22" s="162"/>
      <c r="R22" s="163"/>
      <c r="S22" s="163"/>
      <c r="T22" s="163"/>
      <c r="U22" s="162"/>
      <c r="V22" s="163"/>
      <c r="W22" s="163"/>
      <c r="X22" s="163"/>
      <c r="Y22" s="162"/>
      <c r="Z22" s="163"/>
      <c r="AA22" s="163"/>
    </row>
    <row r="23" spans="1:30">
      <c r="A23" s="35"/>
      <c r="B23" s="27"/>
      <c r="C23" s="191" t="s">
        <v>311</v>
      </c>
      <c r="D23" s="164"/>
      <c r="E23" s="29"/>
      <c r="F23" s="33" t="s">
        <v>10</v>
      </c>
      <c r="G23" s="34">
        <f>K23+O23+S23+W23+AA23</f>
        <v>8419.5750000000007</v>
      </c>
      <c r="H23" s="67"/>
      <c r="I23" s="161"/>
      <c r="J23" s="33" t="s">
        <v>10</v>
      </c>
      <c r="K23" s="34">
        <f>SUM(K16:K22)</f>
        <v>1683.915</v>
      </c>
      <c r="L23" s="163"/>
      <c r="M23" s="162"/>
      <c r="N23" s="163"/>
      <c r="O23" s="34">
        <f>SUM(O16:O22)</f>
        <v>1683.915</v>
      </c>
      <c r="P23" s="163"/>
      <c r="Q23" s="162"/>
      <c r="R23" s="163"/>
      <c r="S23" s="34">
        <f>SUM(S16:S22)</f>
        <v>1683.915</v>
      </c>
      <c r="T23" s="163"/>
      <c r="U23" s="162"/>
      <c r="V23" s="163"/>
      <c r="W23" s="34">
        <f>SUM(W16:W22)</f>
        <v>1683.915</v>
      </c>
      <c r="X23" s="163"/>
      <c r="Y23" s="162"/>
      <c r="Z23" s="163"/>
      <c r="AA23" s="34">
        <f>SUM(AA16:AA22)</f>
        <v>1683.915</v>
      </c>
    </row>
    <row r="24" spans="1:30">
      <c r="A24" s="35"/>
      <c r="B24" s="27"/>
      <c r="C24" s="190"/>
      <c r="D24" s="164"/>
      <c r="E24" s="29"/>
      <c r="F24" s="33"/>
      <c r="G24" s="34"/>
      <c r="H24" s="67"/>
      <c r="I24" s="161"/>
      <c r="J24" s="163"/>
      <c r="K24" s="163"/>
      <c r="L24" s="163"/>
      <c r="M24" s="162"/>
      <c r="N24" s="163"/>
      <c r="O24" s="163"/>
      <c r="P24" s="163"/>
      <c r="Q24" s="162"/>
      <c r="R24" s="163"/>
      <c r="S24" s="163"/>
      <c r="T24" s="163"/>
      <c r="U24" s="162"/>
      <c r="V24" s="163"/>
      <c r="W24" s="163"/>
      <c r="X24" s="163"/>
      <c r="Y24" s="162"/>
      <c r="Z24" s="163"/>
      <c r="AA24" s="163"/>
    </row>
    <row r="25" spans="1:30">
      <c r="A25" s="14"/>
      <c r="B25" s="31"/>
      <c r="C25" s="168"/>
      <c r="D25" s="166"/>
      <c r="E25" s="29"/>
      <c r="F25" s="32"/>
      <c r="G25" s="32"/>
      <c r="H25" s="67"/>
      <c r="I25" s="161"/>
      <c r="J25" s="163"/>
      <c r="K25" s="163"/>
      <c r="L25" s="163"/>
      <c r="M25" s="162"/>
      <c r="N25" s="163"/>
      <c r="O25" s="163"/>
      <c r="P25" s="163"/>
      <c r="Q25" s="162"/>
      <c r="R25" s="163"/>
      <c r="S25" s="163"/>
      <c r="T25" s="163"/>
      <c r="U25" s="162"/>
      <c r="V25" s="163"/>
      <c r="W25" s="163"/>
      <c r="X25" s="163"/>
      <c r="Y25" s="162"/>
      <c r="Z25" s="163"/>
      <c r="AA25" s="163"/>
      <c r="AB25" s="22"/>
      <c r="AC25" s="22"/>
      <c r="AD25" s="22"/>
    </row>
    <row r="26" spans="1:30">
      <c r="A26" s="14"/>
      <c r="B26" s="62" t="s">
        <v>21</v>
      </c>
      <c r="C26" s="181" t="s">
        <v>923</v>
      </c>
      <c r="D26" s="174"/>
      <c r="E26" s="175"/>
      <c r="F26" s="176"/>
      <c r="G26" s="176"/>
      <c r="H26" s="177"/>
      <c r="I26" s="178"/>
      <c r="J26" s="180"/>
      <c r="K26" s="180"/>
      <c r="L26" s="180"/>
      <c r="M26" s="179"/>
      <c r="N26" s="180"/>
      <c r="O26" s="180"/>
      <c r="P26" s="180"/>
      <c r="Q26" s="179"/>
      <c r="R26" s="180"/>
      <c r="S26" s="180"/>
      <c r="T26" s="180"/>
      <c r="U26" s="179"/>
      <c r="V26" s="180"/>
      <c r="W26" s="180"/>
      <c r="X26" s="180"/>
      <c r="Y26" s="179"/>
      <c r="Z26" s="180"/>
      <c r="AA26" s="180"/>
      <c r="AB26" s="22"/>
      <c r="AC26" s="22"/>
      <c r="AD26" s="22"/>
    </row>
    <row r="27" spans="1:30" ht="27.6">
      <c r="A27" s="14"/>
      <c r="B27" s="31"/>
      <c r="C27" s="168" t="s">
        <v>233</v>
      </c>
      <c r="D27" s="164" t="s">
        <v>234</v>
      </c>
      <c r="E27" s="29">
        <f t="shared" ref="E27:E35" si="14">I27+M27+Q27+U27+Y27</f>
        <v>0</v>
      </c>
      <c r="F27" s="33"/>
      <c r="G27" s="32">
        <f t="shared" ref="G27:G35" si="15">K27+O27+S27+W27+AA27</f>
        <v>0</v>
      </c>
      <c r="H27" s="67"/>
      <c r="I27" s="161"/>
      <c r="J27" s="163">
        <v>0</v>
      </c>
      <c r="K27" s="163">
        <f t="shared" ref="K27:K35" si="16">J27*I27</f>
        <v>0</v>
      </c>
      <c r="L27" s="164"/>
      <c r="M27" s="164"/>
      <c r="N27" s="163">
        <v>0</v>
      </c>
      <c r="O27" s="163">
        <f t="shared" ref="O27:O35" si="17">N27*M27</f>
        <v>0</v>
      </c>
      <c r="P27" s="164"/>
      <c r="Q27" s="164"/>
      <c r="R27" s="163">
        <v>0</v>
      </c>
      <c r="S27" s="163">
        <f t="shared" ref="S27:S35" si="18">R27*Q27</f>
        <v>0</v>
      </c>
      <c r="T27" s="164"/>
      <c r="U27" s="164"/>
      <c r="V27" s="163">
        <v>0</v>
      </c>
      <c r="W27" s="163">
        <f t="shared" ref="W27:W35" si="19">V27*U27</f>
        <v>0</v>
      </c>
      <c r="X27" s="164"/>
      <c r="Y27" s="164"/>
      <c r="Z27" s="163">
        <v>0</v>
      </c>
      <c r="AA27" s="163">
        <f t="shared" ref="AA27:AA35" si="20">Z27*Y27</f>
        <v>0</v>
      </c>
      <c r="AB27" s="22"/>
      <c r="AC27" s="22"/>
      <c r="AD27" s="22"/>
    </row>
    <row r="28" spans="1:30">
      <c r="A28" s="35"/>
      <c r="B28" s="27"/>
      <c r="C28" s="168" t="s">
        <v>235</v>
      </c>
      <c r="D28" s="164"/>
      <c r="E28" s="29">
        <f t="shared" si="14"/>
        <v>0</v>
      </c>
      <c r="F28" s="33"/>
      <c r="G28" s="32">
        <f t="shared" si="15"/>
        <v>0</v>
      </c>
      <c r="H28" s="68"/>
      <c r="I28" s="161"/>
      <c r="J28" s="163">
        <v>0</v>
      </c>
      <c r="K28" s="163">
        <f t="shared" si="16"/>
        <v>0</v>
      </c>
      <c r="L28" s="163"/>
      <c r="M28" s="164"/>
      <c r="N28" s="163">
        <v>0</v>
      </c>
      <c r="O28" s="163">
        <f t="shared" si="17"/>
        <v>0</v>
      </c>
      <c r="P28" s="163"/>
      <c r="Q28" s="164"/>
      <c r="R28" s="163">
        <v>0</v>
      </c>
      <c r="S28" s="163">
        <f t="shared" si="18"/>
        <v>0</v>
      </c>
      <c r="T28" s="163"/>
      <c r="U28" s="164"/>
      <c r="V28" s="163">
        <v>0</v>
      </c>
      <c r="W28" s="163">
        <f t="shared" si="19"/>
        <v>0</v>
      </c>
      <c r="X28" s="163"/>
      <c r="Y28" s="164"/>
      <c r="Z28" s="163">
        <v>0</v>
      </c>
      <c r="AA28" s="163">
        <f t="shared" si="20"/>
        <v>0</v>
      </c>
    </row>
    <row r="29" spans="1:30">
      <c r="A29" s="35"/>
      <c r="B29" s="27"/>
      <c r="C29" s="170" t="s">
        <v>236</v>
      </c>
      <c r="D29" s="164"/>
      <c r="E29" s="29">
        <f t="shared" si="14"/>
        <v>0</v>
      </c>
      <c r="F29" s="33"/>
      <c r="G29" s="32">
        <f t="shared" si="15"/>
        <v>0</v>
      </c>
      <c r="H29" s="68"/>
      <c r="I29" s="161"/>
      <c r="J29" s="163">
        <v>0</v>
      </c>
      <c r="K29" s="163">
        <f t="shared" si="16"/>
        <v>0</v>
      </c>
      <c r="L29" s="163"/>
      <c r="M29" s="166"/>
      <c r="N29" s="163">
        <v>0</v>
      </c>
      <c r="O29" s="163">
        <f t="shared" si="17"/>
        <v>0</v>
      </c>
      <c r="P29" s="163"/>
      <c r="Q29" s="166"/>
      <c r="R29" s="163">
        <v>0</v>
      </c>
      <c r="S29" s="163">
        <f t="shared" si="18"/>
        <v>0</v>
      </c>
      <c r="T29" s="163"/>
      <c r="U29" s="166"/>
      <c r="V29" s="163">
        <v>0</v>
      </c>
      <c r="W29" s="163">
        <f t="shared" si="19"/>
        <v>0</v>
      </c>
      <c r="X29" s="163"/>
      <c r="Y29" s="166"/>
      <c r="Z29" s="163">
        <v>0</v>
      </c>
      <c r="AA29" s="163">
        <f t="shared" si="20"/>
        <v>0</v>
      </c>
    </row>
    <row r="30" spans="1:30">
      <c r="A30" s="35"/>
      <c r="B30" s="27"/>
      <c r="C30" s="170" t="s">
        <v>237</v>
      </c>
      <c r="D30" s="164"/>
      <c r="E30" s="29">
        <f t="shared" si="14"/>
        <v>0</v>
      </c>
      <c r="F30" s="33"/>
      <c r="G30" s="32">
        <f t="shared" si="15"/>
        <v>0</v>
      </c>
      <c r="H30" s="68"/>
      <c r="I30" s="161"/>
      <c r="J30" s="163">
        <v>0</v>
      </c>
      <c r="K30" s="163">
        <f t="shared" si="16"/>
        <v>0</v>
      </c>
      <c r="L30" s="163"/>
      <c r="M30" s="166"/>
      <c r="N30" s="163">
        <v>0</v>
      </c>
      <c r="O30" s="163">
        <f t="shared" si="17"/>
        <v>0</v>
      </c>
      <c r="P30" s="163"/>
      <c r="Q30" s="166"/>
      <c r="R30" s="163">
        <v>0</v>
      </c>
      <c r="S30" s="163">
        <f t="shared" si="18"/>
        <v>0</v>
      </c>
      <c r="T30" s="163"/>
      <c r="U30" s="166"/>
      <c r="V30" s="163">
        <v>0</v>
      </c>
      <c r="W30" s="163">
        <f t="shared" si="19"/>
        <v>0</v>
      </c>
      <c r="X30" s="163"/>
      <c r="Y30" s="166"/>
      <c r="Z30" s="163">
        <v>0</v>
      </c>
      <c r="AA30" s="163">
        <f t="shared" si="20"/>
        <v>0</v>
      </c>
    </row>
    <row r="31" spans="1:30">
      <c r="A31" s="35"/>
      <c r="B31" s="27"/>
      <c r="C31" s="170" t="s">
        <v>238</v>
      </c>
      <c r="D31" s="164"/>
      <c r="E31" s="29">
        <f t="shared" si="14"/>
        <v>0</v>
      </c>
      <c r="F31" s="33"/>
      <c r="G31" s="32">
        <f t="shared" si="15"/>
        <v>0</v>
      </c>
      <c r="H31" s="68"/>
      <c r="I31" s="161"/>
      <c r="J31" s="163">
        <v>0</v>
      </c>
      <c r="K31" s="163">
        <f t="shared" si="16"/>
        <v>0</v>
      </c>
      <c r="L31" s="163"/>
      <c r="M31" s="166"/>
      <c r="N31" s="163">
        <v>0</v>
      </c>
      <c r="O31" s="163">
        <f t="shared" si="17"/>
        <v>0</v>
      </c>
      <c r="P31" s="163"/>
      <c r="Q31" s="166"/>
      <c r="R31" s="163">
        <v>0</v>
      </c>
      <c r="S31" s="163">
        <f t="shared" si="18"/>
        <v>0</v>
      </c>
      <c r="T31" s="163"/>
      <c r="U31" s="166"/>
      <c r="V31" s="163">
        <v>0</v>
      </c>
      <c r="W31" s="163">
        <f t="shared" si="19"/>
        <v>0</v>
      </c>
      <c r="X31" s="163"/>
      <c r="Y31" s="166"/>
      <c r="Z31" s="163">
        <v>0</v>
      </c>
      <c r="AA31" s="163">
        <f t="shared" si="20"/>
        <v>0</v>
      </c>
    </row>
    <row r="32" spans="1:30">
      <c r="A32" s="35"/>
      <c r="B32" s="27"/>
      <c r="C32" s="170" t="s">
        <v>239</v>
      </c>
      <c r="D32" s="164"/>
      <c r="E32" s="29">
        <f t="shared" si="14"/>
        <v>0</v>
      </c>
      <c r="F32" s="33"/>
      <c r="G32" s="32">
        <f t="shared" si="15"/>
        <v>0</v>
      </c>
      <c r="H32" s="68"/>
      <c r="I32" s="161"/>
      <c r="J32" s="163">
        <v>0</v>
      </c>
      <c r="K32" s="163">
        <f t="shared" si="16"/>
        <v>0</v>
      </c>
      <c r="L32" s="163"/>
      <c r="M32" s="166"/>
      <c r="N32" s="163">
        <v>0</v>
      </c>
      <c r="O32" s="163">
        <f t="shared" si="17"/>
        <v>0</v>
      </c>
      <c r="P32" s="163"/>
      <c r="Q32" s="166"/>
      <c r="R32" s="163">
        <v>0</v>
      </c>
      <c r="S32" s="163">
        <f t="shared" si="18"/>
        <v>0</v>
      </c>
      <c r="T32" s="163"/>
      <c r="U32" s="166"/>
      <c r="V32" s="163">
        <v>0</v>
      </c>
      <c r="W32" s="163">
        <f t="shared" si="19"/>
        <v>0</v>
      </c>
      <c r="X32" s="163"/>
      <c r="Y32" s="166"/>
      <c r="Z32" s="163">
        <v>0</v>
      </c>
      <c r="AA32" s="163">
        <f t="shared" si="20"/>
        <v>0</v>
      </c>
    </row>
    <row r="33" spans="1:27">
      <c r="A33" s="35"/>
      <c r="B33" s="27"/>
      <c r="C33" s="170" t="s">
        <v>240</v>
      </c>
      <c r="D33" s="164"/>
      <c r="E33" s="29">
        <f t="shared" si="14"/>
        <v>0</v>
      </c>
      <c r="F33" s="33"/>
      <c r="G33" s="32">
        <f t="shared" si="15"/>
        <v>0</v>
      </c>
      <c r="H33" s="68"/>
      <c r="I33" s="161"/>
      <c r="J33" s="163">
        <v>0</v>
      </c>
      <c r="K33" s="163">
        <f t="shared" si="16"/>
        <v>0</v>
      </c>
      <c r="L33" s="163"/>
      <c r="M33" s="166"/>
      <c r="N33" s="163">
        <v>0</v>
      </c>
      <c r="O33" s="163">
        <f t="shared" si="17"/>
        <v>0</v>
      </c>
      <c r="P33" s="163"/>
      <c r="Q33" s="166"/>
      <c r="R33" s="163">
        <v>0</v>
      </c>
      <c r="S33" s="163">
        <f t="shared" si="18"/>
        <v>0</v>
      </c>
      <c r="T33" s="163"/>
      <c r="U33" s="166"/>
      <c r="V33" s="163">
        <v>0</v>
      </c>
      <c r="W33" s="163">
        <f t="shared" si="19"/>
        <v>0</v>
      </c>
      <c r="X33" s="163"/>
      <c r="Y33" s="166"/>
      <c r="Z33" s="163">
        <v>0</v>
      </c>
      <c r="AA33" s="163">
        <f t="shared" si="20"/>
        <v>0</v>
      </c>
    </row>
    <row r="34" spans="1:27">
      <c r="A34" s="35"/>
      <c r="B34" s="27"/>
      <c r="C34" s="170" t="s">
        <v>241</v>
      </c>
      <c r="D34" s="164"/>
      <c r="E34" s="29">
        <f t="shared" si="14"/>
        <v>0</v>
      </c>
      <c r="F34" s="33"/>
      <c r="G34" s="32">
        <f t="shared" si="15"/>
        <v>0</v>
      </c>
      <c r="H34" s="68"/>
      <c r="I34" s="161"/>
      <c r="J34" s="163">
        <v>0</v>
      </c>
      <c r="K34" s="163">
        <f t="shared" si="16"/>
        <v>0</v>
      </c>
      <c r="L34" s="163"/>
      <c r="M34" s="166"/>
      <c r="N34" s="163">
        <v>0</v>
      </c>
      <c r="O34" s="163">
        <f t="shared" si="17"/>
        <v>0</v>
      </c>
      <c r="P34" s="163"/>
      <c r="Q34" s="166"/>
      <c r="R34" s="163">
        <v>0</v>
      </c>
      <c r="S34" s="163">
        <f t="shared" si="18"/>
        <v>0</v>
      </c>
      <c r="T34" s="163"/>
      <c r="U34" s="166"/>
      <c r="V34" s="163">
        <v>0</v>
      </c>
      <c r="W34" s="163">
        <f t="shared" si="19"/>
        <v>0</v>
      </c>
      <c r="X34" s="163"/>
      <c r="Y34" s="166"/>
      <c r="Z34" s="163">
        <v>0</v>
      </c>
      <c r="AA34" s="163">
        <f t="shared" si="20"/>
        <v>0</v>
      </c>
    </row>
    <row r="35" spans="1:27">
      <c r="A35" s="35"/>
      <c r="B35" s="27"/>
      <c r="C35" s="170" t="s">
        <v>242</v>
      </c>
      <c r="D35" s="164"/>
      <c r="E35" s="29">
        <f t="shared" si="14"/>
        <v>0</v>
      </c>
      <c r="F35" s="33"/>
      <c r="G35" s="32">
        <f t="shared" si="15"/>
        <v>0</v>
      </c>
      <c r="H35" s="68"/>
      <c r="I35" s="161"/>
      <c r="J35" s="163">
        <v>0</v>
      </c>
      <c r="K35" s="163">
        <f t="shared" si="16"/>
        <v>0</v>
      </c>
      <c r="L35" s="163"/>
      <c r="M35" s="166"/>
      <c r="N35" s="163">
        <v>0</v>
      </c>
      <c r="O35" s="163">
        <f t="shared" si="17"/>
        <v>0</v>
      </c>
      <c r="P35" s="163"/>
      <c r="Q35" s="166"/>
      <c r="R35" s="163">
        <v>0</v>
      </c>
      <c r="S35" s="163">
        <f t="shared" si="18"/>
        <v>0</v>
      </c>
      <c r="T35" s="163"/>
      <c r="U35" s="166"/>
      <c r="V35" s="163">
        <v>0</v>
      </c>
      <c r="W35" s="163">
        <f t="shared" si="19"/>
        <v>0</v>
      </c>
      <c r="X35" s="163"/>
      <c r="Y35" s="166"/>
      <c r="Z35" s="163">
        <v>0</v>
      </c>
      <c r="AA35" s="163">
        <f t="shared" si="20"/>
        <v>0</v>
      </c>
    </row>
    <row r="36" spans="1:27">
      <c r="A36" s="35"/>
      <c r="B36" s="27"/>
      <c r="C36" s="168"/>
      <c r="D36" s="164"/>
      <c r="E36" s="37"/>
      <c r="F36" s="33"/>
      <c r="G36" s="34"/>
      <c r="H36" s="68"/>
      <c r="I36" s="161"/>
      <c r="J36" s="163"/>
      <c r="K36" s="163"/>
      <c r="L36" s="163"/>
      <c r="M36" s="164"/>
      <c r="N36" s="163"/>
      <c r="O36" s="163"/>
      <c r="P36" s="163"/>
      <c r="Q36" s="164"/>
      <c r="R36" s="163"/>
      <c r="S36" s="163"/>
      <c r="T36" s="163"/>
      <c r="U36" s="164"/>
      <c r="V36" s="163"/>
      <c r="W36" s="163"/>
      <c r="X36" s="163"/>
      <c r="Y36" s="164"/>
      <c r="Z36" s="163"/>
      <c r="AA36" s="163"/>
    </row>
    <row r="37" spans="1:27">
      <c r="A37" s="35"/>
      <c r="B37" s="27"/>
      <c r="C37" s="171" t="s">
        <v>243</v>
      </c>
      <c r="D37" s="164"/>
      <c r="E37" s="37"/>
      <c r="F37" s="33"/>
      <c r="G37" s="34"/>
      <c r="H37" s="68"/>
      <c r="I37" s="161"/>
      <c r="J37" s="163"/>
      <c r="K37" s="163"/>
      <c r="L37" s="163"/>
      <c r="M37" s="164"/>
      <c r="N37" s="163"/>
      <c r="O37" s="163"/>
      <c r="P37" s="163"/>
      <c r="Q37" s="164"/>
      <c r="R37" s="163"/>
      <c r="S37" s="163"/>
      <c r="T37" s="163"/>
      <c r="U37" s="164"/>
      <c r="V37" s="163"/>
      <c r="W37" s="163"/>
      <c r="X37" s="163"/>
      <c r="Y37" s="164"/>
      <c r="Z37" s="163"/>
      <c r="AA37" s="163"/>
    </row>
    <row r="38" spans="1:27">
      <c r="A38" s="35"/>
      <c r="B38" s="27"/>
      <c r="C38" s="168" t="s">
        <v>244</v>
      </c>
      <c r="D38" s="164"/>
      <c r="E38" s="37"/>
      <c r="F38" s="33"/>
      <c r="G38" s="34"/>
      <c r="H38" s="68"/>
      <c r="I38" s="161"/>
      <c r="J38" s="163"/>
      <c r="K38" s="163"/>
      <c r="L38" s="163"/>
      <c r="M38" s="164"/>
      <c r="N38" s="163"/>
      <c r="O38" s="163"/>
      <c r="P38" s="163"/>
      <c r="Q38" s="164"/>
      <c r="R38" s="163"/>
      <c r="S38" s="163"/>
      <c r="T38" s="163"/>
      <c r="U38" s="164"/>
      <c r="V38" s="163"/>
      <c r="W38" s="163"/>
      <c r="X38" s="163"/>
      <c r="Y38" s="164"/>
      <c r="Z38" s="163"/>
      <c r="AA38" s="163"/>
    </row>
    <row r="39" spans="1:27" ht="55.2">
      <c r="A39" s="35"/>
      <c r="B39" s="27"/>
      <c r="C39" s="168" t="s">
        <v>310</v>
      </c>
      <c r="D39" s="164" t="s">
        <v>6</v>
      </c>
      <c r="E39" s="29">
        <f t="shared" ref="E39:E40" si="21">I39+M39+Q39+U39+Y39</f>
        <v>1</v>
      </c>
      <c r="F39" s="163">
        <v>745.76</v>
      </c>
      <c r="G39" s="32">
        <f t="shared" ref="G39:G40" si="22">K39+O39+S39+W39+AA39</f>
        <v>745.76</v>
      </c>
      <c r="H39" s="68"/>
      <c r="I39" s="161">
        <v>1</v>
      </c>
      <c r="J39" s="163">
        <v>745.76</v>
      </c>
      <c r="K39" s="163">
        <f t="shared" ref="K39:K40" si="23">J39*I39</f>
        <v>745.76</v>
      </c>
      <c r="L39" s="163"/>
      <c r="M39" s="166"/>
      <c r="N39" s="163"/>
      <c r="O39" s="163">
        <f t="shared" ref="O39:O40" si="24">N39*M39</f>
        <v>0</v>
      </c>
      <c r="P39" s="163"/>
      <c r="Q39" s="166"/>
      <c r="R39" s="163"/>
      <c r="S39" s="163">
        <f t="shared" ref="S39:S40" si="25">R39*Q39</f>
        <v>0</v>
      </c>
      <c r="T39" s="163"/>
      <c r="U39" s="166"/>
      <c r="V39" s="163"/>
      <c r="W39" s="163">
        <f t="shared" ref="W39:W40" si="26">V39*U39</f>
        <v>0</v>
      </c>
      <c r="X39" s="163"/>
      <c r="Y39" s="166"/>
      <c r="Z39" s="163"/>
      <c r="AA39" s="163">
        <f t="shared" ref="AA39:AA40" si="27">Z39*Y39</f>
        <v>0</v>
      </c>
    </row>
    <row r="40" spans="1:27">
      <c r="A40" s="35"/>
      <c r="B40" s="27"/>
      <c r="C40" s="168" t="s">
        <v>245</v>
      </c>
      <c r="D40" s="164" t="s">
        <v>6</v>
      </c>
      <c r="E40" s="29">
        <f t="shared" si="21"/>
        <v>1</v>
      </c>
      <c r="F40" s="163">
        <v>1731.56</v>
      </c>
      <c r="G40" s="32">
        <f t="shared" si="22"/>
        <v>1731.56</v>
      </c>
      <c r="H40" s="68"/>
      <c r="I40" s="161">
        <v>1</v>
      </c>
      <c r="J40" s="163">
        <v>1731.56</v>
      </c>
      <c r="K40" s="163">
        <f t="shared" si="23"/>
        <v>1731.56</v>
      </c>
      <c r="L40" s="163"/>
      <c r="M40" s="166"/>
      <c r="N40" s="163"/>
      <c r="O40" s="163">
        <f t="shared" si="24"/>
        <v>0</v>
      </c>
      <c r="P40" s="163"/>
      <c r="Q40" s="166"/>
      <c r="R40" s="163"/>
      <c r="S40" s="163">
        <f t="shared" si="25"/>
        <v>0</v>
      </c>
      <c r="T40" s="163"/>
      <c r="U40" s="166"/>
      <c r="V40" s="163"/>
      <c r="W40" s="163">
        <f t="shared" si="26"/>
        <v>0</v>
      </c>
      <c r="X40" s="163"/>
      <c r="Y40" s="166"/>
      <c r="Z40" s="163"/>
      <c r="AA40" s="163">
        <f t="shared" si="27"/>
        <v>0</v>
      </c>
    </row>
    <row r="41" spans="1:27">
      <c r="A41" s="35"/>
      <c r="B41" s="27"/>
      <c r="C41" s="168"/>
      <c r="D41" s="164"/>
      <c r="E41" s="37"/>
      <c r="F41" s="33"/>
      <c r="G41" s="34"/>
      <c r="H41" s="68"/>
      <c r="I41" s="161"/>
      <c r="J41" s="163"/>
      <c r="K41" s="163"/>
      <c r="L41" s="163"/>
      <c r="M41" s="166"/>
      <c r="N41" s="163"/>
      <c r="O41" s="163"/>
      <c r="P41" s="163"/>
      <c r="Q41" s="166"/>
      <c r="R41" s="163"/>
      <c r="S41" s="163"/>
      <c r="T41" s="163"/>
      <c r="U41" s="166"/>
      <c r="V41" s="163"/>
      <c r="W41" s="163"/>
      <c r="X41" s="163"/>
      <c r="Y41" s="166"/>
      <c r="Z41" s="163"/>
      <c r="AA41" s="163"/>
    </row>
    <row r="42" spans="1:27">
      <c r="A42" s="35"/>
      <c r="B42" s="27"/>
      <c r="C42" s="171" t="s">
        <v>246</v>
      </c>
      <c r="D42" s="164"/>
      <c r="E42" s="37"/>
      <c r="F42" s="33"/>
      <c r="G42" s="34"/>
      <c r="H42" s="68"/>
      <c r="I42" s="161"/>
      <c r="J42" s="163"/>
      <c r="K42" s="163"/>
      <c r="L42" s="163"/>
      <c r="M42" s="164"/>
      <c r="N42" s="163"/>
      <c r="O42" s="163"/>
      <c r="P42" s="163"/>
      <c r="Q42" s="164"/>
      <c r="R42" s="163"/>
      <c r="S42" s="163"/>
      <c r="T42" s="163"/>
      <c r="U42" s="164"/>
      <c r="V42" s="163"/>
      <c r="W42" s="163"/>
      <c r="X42" s="163"/>
      <c r="Y42" s="164"/>
      <c r="Z42" s="163"/>
      <c r="AA42" s="163"/>
    </row>
    <row r="43" spans="1:27" ht="55.2">
      <c r="A43" s="35"/>
      <c r="B43" s="27"/>
      <c r="C43" s="168" t="s">
        <v>247</v>
      </c>
      <c r="D43" s="164" t="s">
        <v>6</v>
      </c>
      <c r="E43" s="29">
        <f t="shared" ref="E43:E44" si="28">I43+M43+Q43+U43+Y43</f>
        <v>1</v>
      </c>
      <c r="F43" s="163">
        <v>2118.9609999999998</v>
      </c>
      <c r="G43" s="32">
        <f t="shared" ref="G43:G44" si="29">K43+O43+S43+W43+AA43</f>
        <v>2118.9609999999998</v>
      </c>
      <c r="H43" s="68"/>
      <c r="I43" s="161">
        <v>1</v>
      </c>
      <c r="J43" s="163">
        <v>2118.9609999999998</v>
      </c>
      <c r="K43" s="163">
        <f t="shared" ref="K43:K44" si="30">J43*I43</f>
        <v>2118.9609999999998</v>
      </c>
      <c r="L43" s="163"/>
      <c r="M43" s="166"/>
      <c r="N43" s="163"/>
      <c r="O43" s="163">
        <f t="shared" ref="O43:O44" si="31">N43*M43</f>
        <v>0</v>
      </c>
      <c r="P43" s="163"/>
      <c r="Q43" s="166"/>
      <c r="R43" s="163"/>
      <c r="S43" s="163">
        <f t="shared" ref="S43:S44" si="32">R43*Q43</f>
        <v>0</v>
      </c>
      <c r="T43" s="163"/>
      <c r="U43" s="166"/>
      <c r="V43" s="163"/>
      <c r="W43" s="163">
        <f t="shared" ref="W43:W44" si="33">V43*U43</f>
        <v>0</v>
      </c>
      <c r="X43" s="163"/>
      <c r="Y43" s="166"/>
      <c r="Z43" s="163"/>
      <c r="AA43" s="163">
        <f t="shared" ref="AA43:AA44" si="34">Z43*Y43</f>
        <v>0</v>
      </c>
    </row>
    <row r="44" spans="1:27" ht="27.6">
      <c r="A44" s="35"/>
      <c r="B44" s="27"/>
      <c r="C44" s="168" t="s">
        <v>248</v>
      </c>
      <c r="D44" s="164" t="s">
        <v>249</v>
      </c>
      <c r="E44" s="29">
        <f t="shared" si="28"/>
        <v>0</v>
      </c>
      <c r="F44" s="33"/>
      <c r="G44" s="32">
        <f t="shared" si="29"/>
        <v>0</v>
      </c>
      <c r="H44" s="68"/>
      <c r="I44" s="161"/>
      <c r="J44" s="163"/>
      <c r="K44" s="163">
        <f t="shared" si="30"/>
        <v>0</v>
      </c>
      <c r="L44" s="163"/>
      <c r="M44" s="166"/>
      <c r="N44" s="163"/>
      <c r="O44" s="163">
        <f t="shared" si="31"/>
        <v>0</v>
      </c>
      <c r="P44" s="163"/>
      <c r="Q44" s="166"/>
      <c r="R44" s="163"/>
      <c r="S44" s="163">
        <f t="shared" si="32"/>
        <v>0</v>
      </c>
      <c r="T44" s="163"/>
      <c r="U44" s="166"/>
      <c r="V44" s="163"/>
      <c r="W44" s="163">
        <f t="shared" si="33"/>
        <v>0</v>
      </c>
      <c r="X44" s="163"/>
      <c r="Y44" s="166"/>
      <c r="Z44" s="163"/>
      <c r="AA44" s="163">
        <f t="shared" si="34"/>
        <v>0</v>
      </c>
    </row>
    <row r="45" spans="1:27">
      <c r="A45" s="35"/>
      <c r="B45" s="27"/>
      <c r="C45" s="168"/>
      <c r="D45" s="164"/>
      <c r="E45" s="37"/>
      <c r="F45" s="33"/>
      <c r="G45" s="34"/>
      <c r="H45" s="68"/>
      <c r="I45" s="161"/>
      <c r="J45" s="163"/>
      <c r="K45" s="163"/>
      <c r="L45" s="163"/>
      <c r="M45" s="164"/>
      <c r="N45" s="163"/>
      <c r="O45" s="163"/>
      <c r="P45" s="163"/>
      <c r="Q45" s="164"/>
      <c r="R45" s="163"/>
      <c r="S45" s="163"/>
      <c r="T45" s="163"/>
      <c r="U45" s="164"/>
      <c r="V45" s="163"/>
      <c r="W45" s="163"/>
      <c r="X45" s="163"/>
      <c r="Y45" s="164"/>
      <c r="Z45" s="163"/>
      <c r="AA45" s="163"/>
    </row>
    <row r="46" spans="1:27">
      <c r="A46" s="35"/>
      <c r="B46" s="27"/>
      <c r="C46" s="171" t="s">
        <v>250</v>
      </c>
      <c r="D46" s="164"/>
      <c r="E46" s="37"/>
      <c r="F46" s="33"/>
      <c r="G46" s="34"/>
      <c r="H46" s="68"/>
      <c r="I46" s="161"/>
      <c r="J46" s="163"/>
      <c r="K46" s="163"/>
      <c r="L46" s="163"/>
      <c r="M46" s="164"/>
      <c r="N46" s="163"/>
      <c r="O46" s="163"/>
      <c r="P46" s="163"/>
      <c r="Q46" s="164"/>
      <c r="R46" s="163"/>
      <c r="S46" s="163"/>
      <c r="T46" s="163"/>
      <c r="U46" s="164"/>
      <c r="V46" s="163"/>
      <c r="W46" s="163"/>
      <c r="X46" s="163"/>
      <c r="Y46" s="164"/>
      <c r="Z46" s="163"/>
      <c r="AA46" s="163"/>
    </row>
    <row r="47" spans="1:27" ht="41.4">
      <c r="A47" s="35"/>
      <c r="B47" s="27"/>
      <c r="C47" s="168" t="s">
        <v>251</v>
      </c>
      <c r="D47" s="164" t="s">
        <v>6</v>
      </c>
      <c r="E47" s="29">
        <f t="shared" ref="E47:E49" si="35">I47+M47+Q47+U47+Y47</f>
        <v>1</v>
      </c>
      <c r="F47" s="163">
        <v>4202.5609999999997</v>
      </c>
      <c r="G47" s="32">
        <f t="shared" ref="G47:G49" si="36">K47+O47+S47+W47+AA47</f>
        <v>4202.5609999999997</v>
      </c>
      <c r="H47" s="68"/>
      <c r="I47" s="161"/>
      <c r="J47" s="163"/>
      <c r="K47" s="163">
        <f t="shared" ref="K47:K49" si="37">J47*I47</f>
        <v>0</v>
      </c>
      <c r="L47" s="163"/>
      <c r="M47" s="166" t="s">
        <v>223</v>
      </c>
      <c r="N47" s="163">
        <v>4202.5609999999997</v>
      </c>
      <c r="O47" s="163">
        <f t="shared" ref="O47:O49" si="38">N47*M47</f>
        <v>4202.5609999999997</v>
      </c>
      <c r="P47" s="163"/>
      <c r="Q47" s="166"/>
      <c r="R47" s="163"/>
      <c r="S47" s="163">
        <f t="shared" ref="S47:S49" si="39">R47*Q47</f>
        <v>0</v>
      </c>
      <c r="T47" s="163"/>
      <c r="U47" s="166"/>
      <c r="V47" s="163"/>
      <c r="W47" s="163">
        <f t="shared" ref="W47:W49" si="40">V47*U47</f>
        <v>0</v>
      </c>
      <c r="X47" s="163"/>
      <c r="Y47" s="166"/>
      <c r="Z47" s="163"/>
      <c r="AA47" s="163">
        <f t="shared" ref="AA47:AA49" si="41">Z47*Y47</f>
        <v>0</v>
      </c>
    </row>
    <row r="48" spans="1:27" ht="27.6">
      <c r="A48" s="35"/>
      <c r="B48" s="27"/>
      <c r="C48" s="168" t="s">
        <v>252</v>
      </c>
      <c r="D48" s="164" t="s">
        <v>6</v>
      </c>
      <c r="E48" s="29">
        <f t="shared" si="35"/>
        <v>1</v>
      </c>
      <c r="F48" s="163">
        <v>1485.172</v>
      </c>
      <c r="G48" s="32">
        <f t="shared" si="36"/>
        <v>1485.172</v>
      </c>
      <c r="H48" s="68"/>
      <c r="I48" s="161"/>
      <c r="J48" s="163"/>
      <c r="K48" s="163">
        <f t="shared" si="37"/>
        <v>0</v>
      </c>
      <c r="L48" s="163"/>
      <c r="M48" s="166" t="s">
        <v>223</v>
      </c>
      <c r="N48" s="163">
        <v>1485.172</v>
      </c>
      <c r="O48" s="163">
        <f t="shared" si="38"/>
        <v>1485.172</v>
      </c>
      <c r="P48" s="163"/>
      <c r="Q48" s="166"/>
      <c r="R48" s="163"/>
      <c r="S48" s="163">
        <f t="shared" si="39"/>
        <v>0</v>
      </c>
      <c r="T48" s="163"/>
      <c r="U48" s="166"/>
      <c r="V48" s="163"/>
      <c r="W48" s="163">
        <f t="shared" si="40"/>
        <v>0</v>
      </c>
      <c r="X48" s="163"/>
      <c r="Y48" s="166"/>
      <c r="Z48" s="163"/>
      <c r="AA48" s="163">
        <f t="shared" si="41"/>
        <v>0</v>
      </c>
    </row>
    <row r="49" spans="1:27" ht="27.6">
      <c r="A49" s="35"/>
      <c r="B49" s="27"/>
      <c r="C49" s="168" t="s">
        <v>253</v>
      </c>
      <c r="D49" s="164" t="s">
        <v>249</v>
      </c>
      <c r="E49" s="29">
        <f t="shared" si="35"/>
        <v>0</v>
      </c>
      <c r="F49" s="33"/>
      <c r="G49" s="32">
        <f t="shared" si="36"/>
        <v>0</v>
      </c>
      <c r="H49" s="68"/>
      <c r="I49" s="161"/>
      <c r="J49" s="163"/>
      <c r="K49" s="163">
        <f t="shared" si="37"/>
        <v>0</v>
      </c>
      <c r="L49" s="163"/>
      <c r="M49" s="166"/>
      <c r="N49" s="163"/>
      <c r="O49" s="163">
        <f t="shared" si="38"/>
        <v>0</v>
      </c>
      <c r="P49" s="163"/>
      <c r="Q49" s="166"/>
      <c r="R49" s="163"/>
      <c r="S49" s="163">
        <f t="shared" si="39"/>
        <v>0</v>
      </c>
      <c r="T49" s="163"/>
      <c r="U49" s="166"/>
      <c r="V49" s="163"/>
      <c r="W49" s="163">
        <f t="shared" si="40"/>
        <v>0</v>
      </c>
      <c r="X49" s="163"/>
      <c r="Y49" s="166"/>
      <c r="Z49" s="163"/>
      <c r="AA49" s="163">
        <f t="shared" si="41"/>
        <v>0</v>
      </c>
    </row>
    <row r="50" spans="1:27">
      <c r="A50" s="35"/>
      <c r="B50" s="27"/>
      <c r="C50" s="168"/>
      <c r="D50" s="164"/>
      <c r="E50" s="37"/>
      <c r="F50" s="33"/>
      <c r="G50" s="34"/>
      <c r="H50" s="68"/>
      <c r="I50" s="161"/>
      <c r="J50" s="163"/>
      <c r="K50" s="163"/>
      <c r="L50" s="163"/>
      <c r="M50" s="164"/>
      <c r="N50" s="163"/>
      <c r="O50" s="163"/>
      <c r="P50" s="163"/>
      <c r="Q50" s="164"/>
      <c r="R50" s="163"/>
      <c r="S50" s="163"/>
      <c r="T50" s="163"/>
      <c r="U50" s="164"/>
      <c r="V50" s="163"/>
      <c r="W50" s="163"/>
      <c r="X50" s="163"/>
      <c r="Y50" s="164"/>
      <c r="Z50" s="163"/>
      <c r="AA50" s="163"/>
    </row>
    <row r="51" spans="1:27">
      <c r="A51" s="35"/>
      <c r="B51" s="27"/>
      <c r="C51" s="171" t="s">
        <v>254</v>
      </c>
      <c r="D51" s="164"/>
      <c r="E51" s="37"/>
      <c r="F51" s="33"/>
      <c r="G51" s="34"/>
      <c r="H51" s="68"/>
      <c r="I51" s="161"/>
      <c r="J51" s="163"/>
      <c r="K51" s="163"/>
      <c r="L51" s="163"/>
      <c r="M51" s="164"/>
      <c r="N51" s="163"/>
      <c r="O51" s="163"/>
      <c r="P51" s="163"/>
      <c r="Q51" s="164"/>
      <c r="R51" s="163"/>
      <c r="S51" s="163"/>
      <c r="T51" s="163"/>
      <c r="U51" s="164"/>
      <c r="V51" s="163"/>
      <c r="W51" s="163"/>
      <c r="X51" s="163"/>
      <c r="Y51" s="164"/>
      <c r="Z51" s="163"/>
      <c r="AA51" s="163"/>
    </row>
    <row r="52" spans="1:27" ht="27.6">
      <c r="A52" s="35"/>
      <c r="B52" s="27"/>
      <c r="C52" s="168" t="s">
        <v>255</v>
      </c>
      <c r="D52" s="164" t="s">
        <v>6</v>
      </c>
      <c r="E52" s="29">
        <f t="shared" ref="E52:E54" si="42">I52+M52+Q52+U52+Y52</f>
        <v>1</v>
      </c>
      <c r="F52" s="163">
        <v>1982.9559999999999</v>
      </c>
      <c r="G52" s="32">
        <f t="shared" ref="G52:G54" si="43">K52+O52+S52+W52+AA52</f>
        <v>1982.9559999999999</v>
      </c>
      <c r="H52" s="68"/>
      <c r="I52" s="161"/>
      <c r="J52" s="163"/>
      <c r="K52" s="163">
        <f t="shared" ref="K52:K54" si="44">J52*I52</f>
        <v>0</v>
      </c>
      <c r="L52" s="163"/>
      <c r="M52" s="166"/>
      <c r="N52" s="163"/>
      <c r="O52" s="163">
        <f t="shared" ref="O52:O54" si="45">N52*M52</f>
        <v>0</v>
      </c>
      <c r="P52" s="163"/>
      <c r="Q52" s="166" t="s">
        <v>223</v>
      </c>
      <c r="R52" s="163">
        <v>1982.9559999999999</v>
      </c>
      <c r="S52" s="163">
        <f t="shared" ref="S52:S54" si="46">R52*Q52</f>
        <v>1982.9559999999999</v>
      </c>
      <c r="T52" s="163"/>
      <c r="U52" s="166"/>
      <c r="V52" s="163"/>
      <c r="W52" s="163">
        <f t="shared" ref="W52:W54" si="47">V52*U52</f>
        <v>0</v>
      </c>
      <c r="X52" s="163"/>
      <c r="Y52" s="166"/>
      <c r="Z52" s="163"/>
      <c r="AA52" s="163">
        <f t="shared" ref="AA52:AA54" si="48">Z52*Y52</f>
        <v>0</v>
      </c>
    </row>
    <row r="53" spans="1:27">
      <c r="A53" s="35"/>
      <c r="B53" s="27"/>
      <c r="C53" s="168" t="s">
        <v>256</v>
      </c>
      <c r="D53" s="164" t="s">
        <v>6</v>
      </c>
      <c r="E53" s="29">
        <f t="shared" si="42"/>
        <v>1</v>
      </c>
      <c r="F53" s="163">
        <v>1846.952</v>
      </c>
      <c r="G53" s="32">
        <f t="shared" si="43"/>
        <v>1846.952</v>
      </c>
      <c r="H53" s="68"/>
      <c r="I53" s="161"/>
      <c r="J53" s="163"/>
      <c r="K53" s="163">
        <f t="shared" si="44"/>
        <v>0</v>
      </c>
      <c r="L53" s="163"/>
      <c r="M53" s="166"/>
      <c r="N53" s="163"/>
      <c r="O53" s="163">
        <f t="shared" si="45"/>
        <v>0</v>
      </c>
      <c r="P53" s="163"/>
      <c r="Q53" s="166" t="s">
        <v>223</v>
      </c>
      <c r="R53" s="163">
        <v>1846.952</v>
      </c>
      <c r="S53" s="163">
        <f t="shared" si="46"/>
        <v>1846.952</v>
      </c>
      <c r="T53" s="163"/>
      <c r="U53" s="166"/>
      <c r="V53" s="163"/>
      <c r="W53" s="163">
        <f t="shared" si="47"/>
        <v>0</v>
      </c>
      <c r="X53" s="163"/>
      <c r="Y53" s="166"/>
      <c r="Z53" s="163"/>
      <c r="AA53" s="163">
        <f t="shared" si="48"/>
        <v>0</v>
      </c>
    </row>
    <row r="54" spans="1:27">
      <c r="A54" s="35"/>
      <c r="B54" s="27"/>
      <c r="C54" s="168" t="s">
        <v>257</v>
      </c>
      <c r="D54" s="164" t="s">
        <v>6</v>
      </c>
      <c r="E54" s="29">
        <f t="shared" si="42"/>
        <v>1</v>
      </c>
      <c r="F54" s="163">
        <v>228.489</v>
      </c>
      <c r="G54" s="32">
        <f t="shared" si="43"/>
        <v>228.489</v>
      </c>
      <c r="H54" s="68"/>
      <c r="I54" s="161"/>
      <c r="J54" s="163"/>
      <c r="K54" s="163">
        <f t="shared" si="44"/>
        <v>0</v>
      </c>
      <c r="L54" s="163"/>
      <c r="M54" s="166"/>
      <c r="N54" s="163"/>
      <c r="O54" s="163">
        <f t="shared" si="45"/>
        <v>0</v>
      </c>
      <c r="P54" s="163"/>
      <c r="Q54" s="166" t="s">
        <v>223</v>
      </c>
      <c r="R54" s="163">
        <v>228.489</v>
      </c>
      <c r="S54" s="163">
        <f t="shared" si="46"/>
        <v>228.489</v>
      </c>
      <c r="T54" s="163"/>
      <c r="U54" s="166"/>
      <c r="V54" s="163"/>
      <c r="W54" s="163">
        <f t="shared" si="47"/>
        <v>0</v>
      </c>
      <c r="X54" s="163"/>
      <c r="Y54" s="166"/>
      <c r="Z54" s="163"/>
      <c r="AA54" s="163">
        <f t="shared" si="48"/>
        <v>0</v>
      </c>
    </row>
    <row r="55" spans="1:27">
      <c r="A55" s="35"/>
      <c r="B55" s="27"/>
      <c r="C55" s="168"/>
      <c r="D55" s="164"/>
      <c r="E55" s="37"/>
      <c r="F55" s="33"/>
      <c r="G55" s="34"/>
      <c r="H55" s="68"/>
      <c r="I55" s="161"/>
      <c r="J55" s="163"/>
      <c r="K55" s="163"/>
      <c r="L55" s="163"/>
      <c r="M55" s="164"/>
      <c r="N55" s="163"/>
      <c r="O55" s="163"/>
      <c r="P55" s="163"/>
      <c r="Q55" s="164"/>
      <c r="R55" s="163"/>
      <c r="S55" s="163"/>
      <c r="T55" s="163"/>
      <c r="U55" s="164"/>
      <c r="V55" s="163"/>
      <c r="W55" s="163"/>
      <c r="X55" s="163"/>
      <c r="Y55" s="164"/>
      <c r="Z55" s="163"/>
      <c r="AA55" s="163"/>
    </row>
    <row r="56" spans="1:27">
      <c r="A56" s="35"/>
      <c r="B56" s="27"/>
      <c r="C56" s="171" t="s">
        <v>258</v>
      </c>
      <c r="D56" s="164"/>
      <c r="E56" s="37"/>
      <c r="F56" s="33"/>
      <c r="G56" s="34"/>
      <c r="H56" s="68"/>
      <c r="I56" s="161"/>
      <c r="J56" s="163"/>
      <c r="K56" s="163"/>
      <c r="L56" s="163"/>
      <c r="M56" s="164"/>
      <c r="N56" s="163"/>
      <c r="O56" s="163"/>
      <c r="P56" s="163"/>
      <c r="Q56" s="164"/>
      <c r="R56" s="163"/>
      <c r="S56" s="163"/>
      <c r="T56" s="163"/>
      <c r="U56" s="164"/>
      <c r="V56" s="163"/>
      <c r="W56" s="163"/>
      <c r="X56" s="163"/>
      <c r="Y56" s="164"/>
      <c r="Z56" s="163"/>
      <c r="AA56" s="163"/>
    </row>
    <row r="57" spans="1:27">
      <c r="A57" s="35"/>
      <c r="B57" s="27"/>
      <c r="C57" s="168" t="s">
        <v>259</v>
      </c>
      <c r="D57" s="164" t="s">
        <v>6</v>
      </c>
      <c r="E57" s="29">
        <f t="shared" ref="E57:E58" si="49">I57+M57+Q57+U57+Y57</f>
        <v>1</v>
      </c>
      <c r="F57" s="163">
        <v>4809.1450000000004</v>
      </c>
      <c r="G57" s="32">
        <f t="shared" ref="G57:G58" si="50">K57+O57+S57+W57+AA57</f>
        <v>4809.1450000000004</v>
      </c>
      <c r="H57" s="68"/>
      <c r="I57" s="161"/>
      <c r="J57" s="163"/>
      <c r="K57" s="163">
        <f t="shared" ref="K57:K58" si="51">J57*I57</f>
        <v>0</v>
      </c>
      <c r="L57" s="163"/>
      <c r="M57" s="166"/>
      <c r="N57" s="163"/>
      <c r="O57" s="163">
        <f t="shared" ref="O57:O58" si="52">N57*M57</f>
        <v>0</v>
      </c>
      <c r="P57" s="163"/>
      <c r="Q57" s="166"/>
      <c r="R57" s="163"/>
      <c r="S57" s="163">
        <f t="shared" ref="S57:S58" si="53">R57*Q57</f>
        <v>0</v>
      </c>
      <c r="T57" s="163"/>
      <c r="U57" s="166" t="s">
        <v>223</v>
      </c>
      <c r="V57" s="163">
        <v>4809.1450000000004</v>
      </c>
      <c r="W57" s="163">
        <f t="shared" ref="W57:W58" si="54">V57*U57</f>
        <v>4809.1450000000004</v>
      </c>
      <c r="X57" s="163"/>
      <c r="Y57" s="166"/>
      <c r="Z57" s="163"/>
      <c r="AA57" s="163">
        <f t="shared" ref="AA57:AA58" si="55">Z57*Y57</f>
        <v>0</v>
      </c>
    </row>
    <row r="58" spans="1:27" ht="27.6">
      <c r="A58" s="35"/>
      <c r="B58" s="27"/>
      <c r="C58" s="168" t="s">
        <v>260</v>
      </c>
      <c r="D58" s="164" t="s">
        <v>249</v>
      </c>
      <c r="E58" s="29">
        <f t="shared" si="49"/>
        <v>0</v>
      </c>
      <c r="F58" s="33"/>
      <c r="G58" s="32">
        <f t="shared" si="50"/>
        <v>0</v>
      </c>
      <c r="H58" s="68"/>
      <c r="I58" s="161"/>
      <c r="J58" s="163"/>
      <c r="K58" s="163">
        <f t="shared" si="51"/>
        <v>0</v>
      </c>
      <c r="L58" s="163"/>
      <c r="M58" s="166"/>
      <c r="N58" s="163"/>
      <c r="O58" s="163">
        <f t="shared" si="52"/>
        <v>0</v>
      </c>
      <c r="P58" s="163"/>
      <c r="Q58" s="166"/>
      <c r="R58" s="163"/>
      <c r="S58" s="163">
        <f t="shared" si="53"/>
        <v>0</v>
      </c>
      <c r="T58" s="163"/>
      <c r="U58" s="166"/>
      <c r="V58" s="163"/>
      <c r="W58" s="163">
        <f t="shared" si="54"/>
        <v>0</v>
      </c>
      <c r="X58" s="163"/>
      <c r="Y58" s="166"/>
      <c r="Z58" s="163"/>
      <c r="AA58" s="163">
        <f t="shared" si="55"/>
        <v>0</v>
      </c>
    </row>
    <row r="59" spans="1:27">
      <c r="A59" s="35"/>
      <c r="B59" s="27"/>
      <c r="C59" s="168"/>
      <c r="D59" s="164"/>
      <c r="E59" s="37"/>
      <c r="F59" s="33"/>
      <c r="G59" s="34"/>
      <c r="H59" s="68"/>
      <c r="I59" s="161"/>
      <c r="J59" s="163"/>
      <c r="K59" s="163"/>
      <c r="L59" s="163"/>
      <c r="M59" s="164"/>
      <c r="N59" s="163"/>
      <c r="O59" s="163"/>
      <c r="P59" s="163"/>
      <c r="Q59" s="164"/>
      <c r="R59" s="163"/>
      <c r="S59" s="163"/>
      <c r="T59" s="163"/>
      <c r="U59" s="164"/>
      <c r="V59" s="163"/>
      <c r="W59" s="163"/>
      <c r="X59" s="163"/>
      <c r="Y59" s="164"/>
      <c r="Z59" s="163"/>
      <c r="AA59" s="163"/>
    </row>
    <row r="60" spans="1:27">
      <c r="A60" s="35"/>
      <c r="B60" s="27"/>
      <c r="C60" s="171" t="s">
        <v>261</v>
      </c>
      <c r="D60" s="164"/>
      <c r="E60" s="37"/>
      <c r="F60" s="33"/>
      <c r="G60" s="34"/>
      <c r="H60" s="68"/>
      <c r="I60" s="161"/>
      <c r="J60" s="163"/>
      <c r="K60" s="163"/>
      <c r="L60" s="163"/>
      <c r="M60" s="164"/>
      <c r="N60" s="163"/>
      <c r="O60" s="163"/>
      <c r="P60" s="163"/>
      <c r="Q60" s="164"/>
      <c r="R60" s="163"/>
      <c r="S60" s="163"/>
      <c r="T60" s="163"/>
      <c r="U60" s="164"/>
      <c r="V60" s="163"/>
      <c r="W60" s="163"/>
      <c r="X60" s="163"/>
      <c r="Y60" s="164"/>
      <c r="Z60" s="163"/>
      <c r="AA60" s="163"/>
    </row>
    <row r="61" spans="1:27">
      <c r="A61" s="35"/>
      <c r="B61" s="27"/>
      <c r="C61" s="168" t="s">
        <v>262</v>
      </c>
      <c r="D61" s="164" t="s">
        <v>6</v>
      </c>
      <c r="E61" s="29">
        <f t="shared" ref="E61" si="56">I61+M61+Q61+U61+Y61</f>
        <v>1</v>
      </c>
      <c r="F61" s="163">
        <v>2788.11</v>
      </c>
      <c r="G61" s="32">
        <f t="shared" ref="G61" si="57">K61+O61+S61+W61+AA61</f>
        <v>2788.11</v>
      </c>
      <c r="H61" s="68"/>
      <c r="I61" s="161"/>
      <c r="J61" s="163"/>
      <c r="K61" s="163">
        <f t="shared" ref="K61" si="58">J61*I61</f>
        <v>0</v>
      </c>
      <c r="L61" s="163"/>
      <c r="M61" s="166"/>
      <c r="N61" s="163"/>
      <c r="O61" s="163">
        <f t="shared" ref="O61" si="59">N61*M61</f>
        <v>0</v>
      </c>
      <c r="P61" s="163"/>
      <c r="Q61" s="166"/>
      <c r="R61" s="163"/>
      <c r="S61" s="163">
        <f t="shared" ref="S61" si="60">R61*Q61</f>
        <v>0</v>
      </c>
      <c r="T61" s="163"/>
      <c r="U61" s="166"/>
      <c r="V61" s="163"/>
      <c r="W61" s="163">
        <f t="shared" ref="W61" si="61">V61*U61</f>
        <v>0</v>
      </c>
      <c r="X61" s="163"/>
      <c r="Y61" s="166" t="s">
        <v>223</v>
      </c>
      <c r="Z61" s="163">
        <v>2788.11</v>
      </c>
      <c r="AA61" s="163">
        <f t="shared" ref="AA61" si="62">Z61*Y61</f>
        <v>2788.11</v>
      </c>
    </row>
    <row r="62" spans="1:27">
      <c r="A62" s="35"/>
      <c r="B62" s="27"/>
      <c r="C62" s="168"/>
      <c r="D62" s="164"/>
      <c r="E62" s="37"/>
      <c r="F62" s="33"/>
      <c r="G62" s="34"/>
      <c r="H62" s="68"/>
      <c r="I62" s="161"/>
      <c r="J62" s="163"/>
      <c r="K62" s="163"/>
      <c r="L62" s="163"/>
      <c r="M62" s="164"/>
      <c r="N62" s="163"/>
      <c r="O62" s="163"/>
      <c r="P62" s="163"/>
      <c r="Q62" s="164"/>
      <c r="R62" s="163"/>
      <c r="S62" s="163"/>
      <c r="T62" s="163"/>
      <c r="U62" s="164"/>
      <c r="V62" s="163"/>
      <c r="W62" s="163"/>
      <c r="X62" s="163"/>
      <c r="Y62" s="164"/>
      <c r="Z62" s="163"/>
      <c r="AA62" s="163"/>
    </row>
    <row r="63" spans="1:27">
      <c r="A63" s="35"/>
      <c r="B63" s="27"/>
      <c r="C63" s="172" t="s">
        <v>320</v>
      </c>
      <c r="D63" s="164"/>
      <c r="E63" s="29"/>
      <c r="F63" s="33" t="s">
        <v>10</v>
      </c>
      <c r="G63" s="182">
        <f>K63+O63+S63+W63+AA63</f>
        <v>21939.666000000001</v>
      </c>
      <c r="H63" s="68"/>
      <c r="I63" s="161"/>
      <c r="J63" s="33" t="s">
        <v>10</v>
      </c>
      <c r="K63" s="34">
        <f>SUM(K26:K62)</f>
        <v>4596.280999999999</v>
      </c>
      <c r="L63" s="163"/>
      <c r="M63" s="164"/>
      <c r="N63" s="33" t="s">
        <v>10</v>
      </c>
      <c r="O63" s="34">
        <f>SUM(O26:O62)</f>
        <v>5687.7330000000002</v>
      </c>
      <c r="P63" s="163"/>
      <c r="Q63" s="164"/>
      <c r="R63" s="33" t="s">
        <v>10</v>
      </c>
      <c r="S63" s="34">
        <f>SUM(S26:S62)</f>
        <v>4058.3969999999999</v>
      </c>
      <c r="T63" s="163"/>
      <c r="U63" s="164"/>
      <c r="V63" s="33" t="s">
        <v>10</v>
      </c>
      <c r="W63" s="34">
        <f>SUM(W26:W62)</f>
        <v>4809.1450000000004</v>
      </c>
      <c r="X63" s="163"/>
      <c r="Y63" s="164"/>
      <c r="Z63" s="33" t="s">
        <v>10</v>
      </c>
      <c r="AA63" s="34">
        <f>SUM(AA26:AA62)</f>
        <v>2788.11</v>
      </c>
    </row>
    <row r="64" spans="1:27">
      <c r="A64" s="35"/>
      <c r="B64" s="27"/>
      <c r="C64" s="168"/>
      <c r="D64" s="164"/>
      <c r="E64" s="37"/>
      <c r="F64" s="33"/>
      <c r="G64" s="34"/>
      <c r="H64" s="68"/>
      <c r="I64" s="161"/>
      <c r="J64" s="163"/>
      <c r="K64" s="163"/>
      <c r="L64" s="163"/>
      <c r="M64" s="164"/>
      <c r="N64" s="163"/>
      <c r="O64" s="163"/>
      <c r="P64" s="163"/>
      <c r="Q64" s="164"/>
      <c r="R64" s="163"/>
      <c r="S64" s="163"/>
      <c r="T64" s="163"/>
      <c r="U64" s="164"/>
      <c r="V64" s="163"/>
      <c r="W64" s="163"/>
      <c r="X64" s="163"/>
      <c r="Y64" s="164"/>
      <c r="Z64" s="163"/>
      <c r="AA64" s="163"/>
    </row>
    <row r="65" spans="1:27">
      <c r="A65" s="35"/>
      <c r="B65" s="27"/>
      <c r="C65" s="168"/>
      <c r="D65" s="164"/>
      <c r="E65" s="37"/>
      <c r="F65" s="33"/>
      <c r="G65" s="34"/>
      <c r="H65" s="68"/>
      <c r="I65" s="161"/>
      <c r="J65" s="163"/>
      <c r="K65" s="163"/>
      <c r="L65" s="163"/>
      <c r="M65" s="164"/>
      <c r="N65" s="163"/>
      <c r="O65" s="163"/>
      <c r="P65" s="163"/>
      <c r="Q65" s="164"/>
      <c r="R65" s="163"/>
      <c r="S65" s="163"/>
      <c r="T65" s="163"/>
      <c r="U65" s="164"/>
      <c r="V65" s="163"/>
      <c r="W65" s="163"/>
      <c r="X65" s="163"/>
      <c r="Y65" s="164"/>
      <c r="Z65" s="163"/>
      <c r="AA65" s="163"/>
    </row>
    <row r="66" spans="1:27">
      <c r="A66" s="35"/>
      <c r="B66" s="62" t="s">
        <v>78</v>
      </c>
      <c r="C66" s="62" t="s">
        <v>319</v>
      </c>
      <c r="D66" s="181"/>
      <c r="E66" s="174"/>
      <c r="F66" s="175"/>
      <c r="G66" s="176"/>
      <c r="H66" s="176"/>
      <c r="I66" s="177"/>
      <c r="J66" s="178"/>
      <c r="K66" s="180"/>
      <c r="L66" s="180"/>
      <c r="M66" s="180"/>
      <c r="N66" s="179"/>
      <c r="O66" s="180"/>
      <c r="P66" s="180"/>
      <c r="Q66" s="180"/>
      <c r="R66" s="179"/>
      <c r="S66" s="180"/>
      <c r="T66" s="180"/>
      <c r="U66" s="180"/>
      <c r="V66" s="179"/>
      <c r="W66" s="180"/>
      <c r="X66" s="180"/>
      <c r="Y66" s="180"/>
      <c r="Z66" s="179"/>
      <c r="AA66" s="180"/>
    </row>
    <row r="67" spans="1:27" ht="27.6">
      <c r="A67" s="35"/>
      <c r="B67" s="27"/>
      <c r="C67" s="168" t="s">
        <v>263</v>
      </c>
      <c r="D67" s="164" t="s">
        <v>234</v>
      </c>
      <c r="E67" s="29">
        <f t="shared" ref="E67" si="63">I67+M67+Q67+U67+Y67</f>
        <v>0</v>
      </c>
      <c r="F67" s="33"/>
      <c r="G67" s="32">
        <f t="shared" ref="G67" si="64">K67+O67+S67+W67+AA67</f>
        <v>0</v>
      </c>
      <c r="H67" s="68"/>
      <c r="I67" s="161"/>
      <c r="J67" s="163">
        <v>0</v>
      </c>
      <c r="K67" s="163">
        <f t="shared" ref="K67:K73" si="65">J67*I67</f>
        <v>0</v>
      </c>
      <c r="L67" s="164"/>
      <c r="M67" s="164"/>
      <c r="N67" s="163">
        <v>0</v>
      </c>
      <c r="O67" s="163">
        <f t="shared" ref="O67:O73" si="66">N67*M67</f>
        <v>0</v>
      </c>
      <c r="P67" s="164"/>
      <c r="Q67" s="164"/>
      <c r="R67" s="163">
        <v>0</v>
      </c>
      <c r="S67" s="163">
        <f t="shared" ref="S67:S73" si="67">R67*Q67</f>
        <v>0</v>
      </c>
      <c r="T67" s="164"/>
      <c r="U67" s="164"/>
      <c r="V67" s="163">
        <v>0</v>
      </c>
      <c r="W67" s="163">
        <f t="shared" ref="W67:W73" si="68">V67*U67</f>
        <v>0</v>
      </c>
      <c r="X67" s="164"/>
      <c r="Y67" s="164"/>
      <c r="Z67" s="163">
        <v>0</v>
      </c>
      <c r="AA67" s="163">
        <f t="shared" ref="AA67:AA73" si="69">Z67*Y67</f>
        <v>0</v>
      </c>
    </row>
    <row r="68" spans="1:27">
      <c r="A68" s="35"/>
      <c r="B68" s="27"/>
      <c r="C68" s="168"/>
      <c r="D68" s="164"/>
      <c r="E68" s="37"/>
      <c r="F68" s="33"/>
      <c r="G68" s="34"/>
      <c r="H68" s="68"/>
      <c r="I68" s="161"/>
      <c r="J68" s="163"/>
      <c r="K68" s="163"/>
      <c r="L68" s="164"/>
      <c r="M68" s="164"/>
      <c r="N68" s="163"/>
      <c r="O68" s="163"/>
      <c r="P68" s="164"/>
      <c r="Q68" s="164"/>
      <c r="R68" s="163"/>
      <c r="S68" s="163"/>
      <c r="T68" s="164"/>
      <c r="U68" s="164"/>
      <c r="V68" s="163"/>
      <c r="W68" s="163"/>
      <c r="X68" s="164"/>
      <c r="Y68" s="164"/>
      <c r="Z68" s="163"/>
      <c r="AA68" s="163"/>
    </row>
    <row r="69" spans="1:27">
      <c r="A69" s="35"/>
      <c r="B69" s="27"/>
      <c r="C69" s="335" t="s">
        <v>264</v>
      </c>
      <c r="D69" s="164"/>
      <c r="E69" s="37"/>
      <c r="F69" s="33"/>
      <c r="G69" s="34"/>
      <c r="H69" s="68"/>
      <c r="I69" s="161"/>
      <c r="J69" s="163"/>
      <c r="K69" s="163"/>
      <c r="L69" s="164"/>
      <c r="M69" s="164"/>
      <c r="N69" s="163"/>
      <c r="O69" s="163"/>
      <c r="P69" s="164"/>
      <c r="Q69" s="164"/>
      <c r="R69" s="163"/>
      <c r="S69" s="163"/>
      <c r="T69" s="164"/>
      <c r="U69" s="164"/>
      <c r="V69" s="163"/>
      <c r="W69" s="163"/>
      <c r="X69" s="164"/>
      <c r="Y69" s="164"/>
      <c r="Z69" s="163"/>
      <c r="AA69" s="163"/>
    </row>
    <row r="70" spans="1:27">
      <c r="A70" s="35"/>
      <c r="B70" s="27"/>
      <c r="C70" s="336" t="s">
        <v>265</v>
      </c>
      <c r="D70" s="164" t="s">
        <v>6</v>
      </c>
      <c r="E70" s="29">
        <f t="shared" ref="E70:E73" si="70">I70+M70+Q70+U70+Y70</f>
        <v>1</v>
      </c>
      <c r="F70" s="163">
        <v>516.30100000000004</v>
      </c>
      <c r="G70" s="32">
        <f t="shared" ref="G70:G73" si="71">K70+O70+S70+W70+AA70</f>
        <v>516.30100000000004</v>
      </c>
      <c r="H70" s="68"/>
      <c r="I70" s="161">
        <v>1</v>
      </c>
      <c r="J70" s="163">
        <v>516.30100000000004</v>
      </c>
      <c r="K70" s="163">
        <f t="shared" si="65"/>
        <v>516.30100000000004</v>
      </c>
      <c r="L70" s="163"/>
      <c r="M70" s="164"/>
      <c r="N70" s="163"/>
      <c r="O70" s="163">
        <f t="shared" si="66"/>
        <v>0</v>
      </c>
      <c r="P70" s="163"/>
      <c r="Q70" s="164"/>
      <c r="R70" s="163"/>
      <c r="S70" s="163">
        <f t="shared" si="67"/>
        <v>0</v>
      </c>
      <c r="T70" s="163"/>
      <c r="U70" s="164"/>
      <c r="V70" s="163"/>
      <c r="W70" s="163">
        <f t="shared" si="68"/>
        <v>0</v>
      </c>
      <c r="X70" s="163"/>
      <c r="Y70" s="164"/>
      <c r="Z70" s="163"/>
      <c r="AA70" s="163">
        <f t="shared" si="69"/>
        <v>0</v>
      </c>
    </row>
    <row r="71" spans="1:27">
      <c r="A71" s="35"/>
      <c r="B71" s="27"/>
      <c r="C71" s="168" t="s">
        <v>266</v>
      </c>
      <c r="D71" s="164" t="s">
        <v>6</v>
      </c>
      <c r="E71" s="29">
        <f t="shared" si="70"/>
        <v>1</v>
      </c>
      <c r="F71" s="163">
        <v>326.89299999999997</v>
      </c>
      <c r="G71" s="32">
        <f t="shared" si="71"/>
        <v>326.89299999999997</v>
      </c>
      <c r="H71" s="68"/>
      <c r="I71" s="161">
        <v>1</v>
      </c>
      <c r="J71" s="163">
        <v>326.89299999999997</v>
      </c>
      <c r="K71" s="163">
        <f t="shared" si="65"/>
        <v>326.89299999999997</v>
      </c>
      <c r="L71" s="164"/>
      <c r="M71" s="164"/>
      <c r="N71" s="163"/>
      <c r="O71" s="163">
        <f t="shared" si="66"/>
        <v>0</v>
      </c>
      <c r="P71" s="164"/>
      <c r="Q71" s="164"/>
      <c r="R71" s="163"/>
      <c r="S71" s="163">
        <f t="shared" si="67"/>
        <v>0</v>
      </c>
      <c r="T71" s="164"/>
      <c r="U71" s="164"/>
      <c r="V71" s="163"/>
      <c r="W71" s="163">
        <f t="shared" si="68"/>
        <v>0</v>
      </c>
      <c r="X71" s="164"/>
      <c r="Y71" s="164"/>
      <c r="Z71" s="163"/>
      <c r="AA71" s="163">
        <f t="shared" si="69"/>
        <v>0</v>
      </c>
    </row>
    <row r="72" spans="1:27">
      <c r="A72" s="35"/>
      <c r="B72" s="27"/>
      <c r="C72" s="336" t="s">
        <v>267</v>
      </c>
      <c r="D72" s="164" t="s">
        <v>6</v>
      </c>
      <c r="E72" s="29">
        <f t="shared" si="70"/>
        <v>1</v>
      </c>
      <c r="F72" s="163">
        <v>416.791</v>
      </c>
      <c r="G72" s="32">
        <f t="shared" si="71"/>
        <v>416.791</v>
      </c>
      <c r="H72" s="68"/>
      <c r="I72" s="161">
        <v>1</v>
      </c>
      <c r="J72" s="163">
        <v>416.791</v>
      </c>
      <c r="K72" s="163">
        <f t="shared" si="65"/>
        <v>416.791</v>
      </c>
      <c r="L72" s="163"/>
      <c r="M72" s="164"/>
      <c r="N72" s="163"/>
      <c r="O72" s="163">
        <f t="shared" si="66"/>
        <v>0</v>
      </c>
      <c r="P72" s="163"/>
      <c r="Q72" s="164"/>
      <c r="R72" s="163"/>
      <c r="S72" s="163">
        <f t="shared" si="67"/>
        <v>0</v>
      </c>
      <c r="T72" s="163"/>
      <c r="U72" s="164"/>
      <c r="V72" s="163"/>
      <c r="W72" s="163">
        <f t="shared" si="68"/>
        <v>0</v>
      </c>
      <c r="X72" s="163"/>
      <c r="Y72" s="164"/>
      <c r="Z72" s="163"/>
      <c r="AA72" s="163">
        <f t="shared" si="69"/>
        <v>0</v>
      </c>
    </row>
    <row r="73" spans="1:27" ht="27.6">
      <c r="A73" s="35"/>
      <c r="B73" s="27"/>
      <c r="C73" s="168" t="s">
        <v>268</v>
      </c>
      <c r="D73" s="164" t="s">
        <v>249</v>
      </c>
      <c r="E73" s="29">
        <f t="shared" si="70"/>
        <v>0</v>
      </c>
      <c r="F73" s="33"/>
      <c r="G73" s="32">
        <f t="shared" si="71"/>
        <v>0</v>
      </c>
      <c r="H73" s="68"/>
      <c r="I73" s="161"/>
      <c r="J73" s="163"/>
      <c r="K73" s="163">
        <f t="shared" si="65"/>
        <v>0</v>
      </c>
      <c r="L73" s="164"/>
      <c r="M73" s="164"/>
      <c r="N73" s="163"/>
      <c r="O73" s="163">
        <f t="shared" si="66"/>
        <v>0</v>
      </c>
      <c r="P73" s="164"/>
      <c r="Q73" s="164"/>
      <c r="R73" s="163"/>
      <c r="S73" s="163">
        <f t="shared" si="67"/>
        <v>0</v>
      </c>
      <c r="T73" s="164"/>
      <c r="U73" s="164"/>
      <c r="V73" s="163"/>
      <c r="W73" s="163">
        <f t="shared" si="68"/>
        <v>0</v>
      </c>
      <c r="X73" s="164"/>
      <c r="Y73" s="164"/>
      <c r="Z73" s="163"/>
      <c r="AA73" s="163">
        <f t="shared" si="69"/>
        <v>0</v>
      </c>
    </row>
    <row r="74" spans="1:27">
      <c r="A74" s="35"/>
      <c r="B74" s="27"/>
      <c r="C74" s="168"/>
      <c r="D74" s="164"/>
      <c r="E74" s="37"/>
      <c r="F74" s="33"/>
      <c r="G74" s="34"/>
      <c r="H74" s="68"/>
      <c r="I74" s="161"/>
      <c r="J74" s="163"/>
      <c r="K74" s="164"/>
      <c r="L74" s="164"/>
      <c r="M74" s="164"/>
      <c r="N74" s="163"/>
      <c r="O74" s="164"/>
      <c r="P74" s="164"/>
      <c r="Q74" s="164"/>
      <c r="R74" s="163"/>
      <c r="S74" s="164"/>
      <c r="T74" s="164"/>
      <c r="U74" s="164"/>
      <c r="V74" s="163"/>
      <c r="W74" s="164"/>
      <c r="X74" s="164"/>
      <c r="Y74" s="164"/>
      <c r="Z74" s="163"/>
      <c r="AA74" s="164"/>
    </row>
    <row r="75" spans="1:27">
      <c r="A75" s="35"/>
      <c r="B75" s="27"/>
      <c r="C75" s="168" t="s">
        <v>861</v>
      </c>
      <c r="D75" s="164"/>
      <c r="E75" s="37"/>
      <c r="F75" s="33"/>
      <c r="G75" s="34"/>
      <c r="H75" s="68"/>
      <c r="I75" s="161"/>
      <c r="J75" s="163"/>
      <c r="K75" s="164"/>
      <c r="L75" s="164"/>
      <c r="M75" s="164"/>
      <c r="N75" s="163"/>
      <c r="O75" s="164"/>
      <c r="P75" s="164"/>
      <c r="Q75" s="164"/>
      <c r="R75" s="163"/>
      <c r="S75" s="164"/>
      <c r="T75" s="164"/>
      <c r="U75" s="164"/>
      <c r="V75" s="163"/>
      <c r="W75" s="164"/>
      <c r="X75" s="164"/>
      <c r="Y75" s="164"/>
      <c r="Z75" s="163"/>
      <c r="AA75" s="164"/>
    </row>
    <row r="76" spans="1:27">
      <c r="A76" s="35"/>
      <c r="B76" s="27"/>
      <c r="C76" s="168" t="s">
        <v>269</v>
      </c>
      <c r="D76" s="164" t="s">
        <v>70</v>
      </c>
      <c r="E76" s="29">
        <f t="shared" ref="E76:E81" si="72">I76+M76+Q76+U76+Y76</f>
        <v>50</v>
      </c>
      <c r="F76" s="163">
        <v>48.334000000000003</v>
      </c>
      <c r="G76" s="32">
        <f t="shared" ref="G76:G81" si="73">K76+O76+S76+W76+AA76</f>
        <v>2416.7000000000003</v>
      </c>
      <c r="H76" s="68"/>
      <c r="I76" s="161">
        <v>50</v>
      </c>
      <c r="J76" s="163">
        <v>48.334000000000003</v>
      </c>
      <c r="K76" s="163">
        <f t="shared" ref="K76:K81" si="74">J76*I76</f>
        <v>2416.7000000000003</v>
      </c>
      <c r="L76" s="164"/>
      <c r="M76" s="337"/>
      <c r="N76" s="163"/>
      <c r="O76" s="163">
        <f t="shared" ref="O76:O81" si="75">N76*M76</f>
        <v>0</v>
      </c>
      <c r="P76" s="164"/>
      <c r="Q76" s="337"/>
      <c r="R76" s="163"/>
      <c r="S76" s="163">
        <f t="shared" ref="S76:S81" si="76">R76*Q76</f>
        <v>0</v>
      </c>
      <c r="T76" s="164"/>
      <c r="U76" s="337"/>
      <c r="V76" s="163"/>
      <c r="W76" s="163">
        <f t="shared" ref="W76:W81" si="77">V76*U76</f>
        <v>0</v>
      </c>
      <c r="X76" s="164"/>
      <c r="Y76" s="337"/>
      <c r="Z76" s="163"/>
      <c r="AA76" s="163">
        <f t="shared" ref="AA76:AA81" si="78">Z76*Y76</f>
        <v>0</v>
      </c>
    </row>
    <row r="77" spans="1:27">
      <c r="A77" s="35"/>
      <c r="B77" s="27"/>
      <c r="C77" s="168" t="s">
        <v>270</v>
      </c>
      <c r="D77" s="164" t="s">
        <v>70</v>
      </c>
      <c r="E77" s="29">
        <f t="shared" si="72"/>
        <v>50</v>
      </c>
      <c r="F77" s="163">
        <v>43.552999999999997</v>
      </c>
      <c r="G77" s="32">
        <f t="shared" si="73"/>
        <v>2177.6499999999996</v>
      </c>
      <c r="H77" s="68"/>
      <c r="I77" s="161">
        <v>50</v>
      </c>
      <c r="J77" s="163">
        <v>43.552999999999997</v>
      </c>
      <c r="K77" s="163">
        <f t="shared" si="74"/>
        <v>2177.6499999999996</v>
      </c>
      <c r="L77" s="164"/>
      <c r="M77" s="337"/>
      <c r="N77" s="163"/>
      <c r="O77" s="163">
        <f t="shared" si="75"/>
        <v>0</v>
      </c>
      <c r="P77" s="164"/>
      <c r="Q77" s="337"/>
      <c r="R77" s="163"/>
      <c r="S77" s="163">
        <f t="shared" si="76"/>
        <v>0</v>
      </c>
      <c r="T77" s="164"/>
      <c r="U77" s="337"/>
      <c r="V77" s="163"/>
      <c r="W77" s="163">
        <f t="shared" si="77"/>
        <v>0</v>
      </c>
      <c r="X77" s="164"/>
      <c r="Y77" s="337"/>
      <c r="Z77" s="163"/>
      <c r="AA77" s="163">
        <f t="shared" si="78"/>
        <v>0</v>
      </c>
    </row>
    <row r="78" spans="1:27">
      <c r="A78" s="35"/>
      <c r="B78" s="27"/>
      <c r="C78" s="168" t="s">
        <v>271</v>
      </c>
      <c r="D78" s="164" t="s">
        <v>70</v>
      </c>
      <c r="E78" s="29">
        <f t="shared" si="72"/>
        <v>50</v>
      </c>
      <c r="F78" s="163">
        <v>40.158000000000001</v>
      </c>
      <c r="G78" s="32">
        <f t="shared" si="73"/>
        <v>2007.9</v>
      </c>
      <c r="H78" s="68"/>
      <c r="I78" s="161">
        <v>50</v>
      </c>
      <c r="J78" s="163">
        <v>40.158000000000001</v>
      </c>
      <c r="K78" s="163">
        <f t="shared" si="74"/>
        <v>2007.9</v>
      </c>
      <c r="L78" s="164"/>
      <c r="M78" s="337"/>
      <c r="N78" s="163"/>
      <c r="O78" s="163">
        <f t="shared" si="75"/>
        <v>0</v>
      </c>
      <c r="P78" s="164"/>
      <c r="Q78" s="337"/>
      <c r="R78" s="163"/>
      <c r="S78" s="163">
        <f t="shared" si="76"/>
        <v>0</v>
      </c>
      <c r="T78" s="164"/>
      <c r="U78" s="337"/>
      <c r="V78" s="163"/>
      <c r="W78" s="163">
        <f t="shared" si="77"/>
        <v>0</v>
      </c>
      <c r="X78" s="164"/>
      <c r="Y78" s="337"/>
      <c r="Z78" s="163"/>
      <c r="AA78" s="163">
        <f t="shared" si="78"/>
        <v>0</v>
      </c>
    </row>
    <row r="79" spans="1:27">
      <c r="A79" s="35"/>
      <c r="B79" s="27"/>
      <c r="C79" s="168" t="s">
        <v>272</v>
      </c>
      <c r="D79" s="164" t="s">
        <v>70</v>
      </c>
      <c r="E79" s="29">
        <f t="shared" si="72"/>
        <v>100</v>
      </c>
      <c r="F79" s="163">
        <v>39.174999999999997</v>
      </c>
      <c r="G79" s="32">
        <f t="shared" si="73"/>
        <v>3917.4999999999995</v>
      </c>
      <c r="H79" s="68"/>
      <c r="I79" s="161">
        <v>100</v>
      </c>
      <c r="J79" s="163">
        <v>39.174999999999997</v>
      </c>
      <c r="K79" s="163">
        <f t="shared" si="74"/>
        <v>3917.4999999999995</v>
      </c>
      <c r="L79" s="164"/>
      <c r="M79" s="337"/>
      <c r="N79" s="163"/>
      <c r="O79" s="163">
        <f t="shared" si="75"/>
        <v>0</v>
      </c>
      <c r="P79" s="164"/>
      <c r="Q79" s="337"/>
      <c r="R79" s="163"/>
      <c r="S79" s="163">
        <f t="shared" si="76"/>
        <v>0</v>
      </c>
      <c r="T79" s="164"/>
      <c r="U79" s="337"/>
      <c r="V79" s="163"/>
      <c r="W79" s="163">
        <f t="shared" si="77"/>
        <v>0</v>
      </c>
      <c r="X79" s="164"/>
      <c r="Y79" s="337"/>
      <c r="Z79" s="163"/>
      <c r="AA79" s="163">
        <f t="shared" si="78"/>
        <v>0</v>
      </c>
    </row>
    <row r="80" spans="1:27">
      <c r="A80" s="35"/>
      <c r="B80" s="27"/>
      <c r="C80" s="168" t="s">
        <v>273</v>
      </c>
      <c r="D80" s="164" t="s">
        <v>70</v>
      </c>
      <c r="E80" s="29">
        <f t="shared" si="72"/>
        <v>50</v>
      </c>
      <c r="F80" s="163">
        <v>38.595999999999997</v>
      </c>
      <c r="G80" s="32">
        <f t="shared" si="73"/>
        <v>1929.7999999999997</v>
      </c>
      <c r="H80" s="68"/>
      <c r="I80" s="161">
        <v>50</v>
      </c>
      <c r="J80" s="163">
        <v>38.595999999999997</v>
      </c>
      <c r="K80" s="163">
        <f t="shared" si="74"/>
        <v>1929.7999999999997</v>
      </c>
      <c r="L80" s="164"/>
      <c r="M80" s="337"/>
      <c r="N80" s="163"/>
      <c r="O80" s="163">
        <f t="shared" si="75"/>
        <v>0</v>
      </c>
      <c r="P80" s="164"/>
      <c r="Q80" s="337"/>
      <c r="R80" s="163"/>
      <c r="S80" s="163">
        <f t="shared" si="76"/>
        <v>0</v>
      </c>
      <c r="T80" s="164"/>
      <c r="U80" s="337"/>
      <c r="V80" s="163"/>
      <c r="W80" s="163">
        <f t="shared" si="77"/>
        <v>0</v>
      </c>
      <c r="X80" s="164"/>
      <c r="Y80" s="337"/>
      <c r="Z80" s="163"/>
      <c r="AA80" s="163">
        <f t="shared" si="78"/>
        <v>0</v>
      </c>
    </row>
    <row r="81" spans="1:27">
      <c r="A81" s="35"/>
      <c r="B81" s="27"/>
      <c r="C81" s="168" t="s">
        <v>274</v>
      </c>
      <c r="D81" s="164" t="s">
        <v>249</v>
      </c>
      <c r="E81" s="29">
        <f t="shared" si="72"/>
        <v>0</v>
      </c>
      <c r="F81" s="33"/>
      <c r="G81" s="32">
        <f t="shared" si="73"/>
        <v>0</v>
      </c>
      <c r="H81" s="68"/>
      <c r="I81" s="161"/>
      <c r="J81" s="163"/>
      <c r="K81" s="163">
        <f t="shared" si="74"/>
        <v>0</v>
      </c>
      <c r="L81" s="164"/>
      <c r="M81" s="164"/>
      <c r="N81" s="163"/>
      <c r="O81" s="163">
        <f t="shared" si="75"/>
        <v>0</v>
      </c>
      <c r="P81" s="164"/>
      <c r="Q81" s="164"/>
      <c r="R81" s="163"/>
      <c r="S81" s="163">
        <f t="shared" si="76"/>
        <v>0</v>
      </c>
      <c r="T81" s="164"/>
      <c r="U81" s="164"/>
      <c r="V81" s="163"/>
      <c r="W81" s="163">
        <f t="shared" si="77"/>
        <v>0</v>
      </c>
      <c r="X81" s="164"/>
      <c r="Y81" s="164"/>
      <c r="Z81" s="163"/>
      <c r="AA81" s="163">
        <f t="shared" si="78"/>
        <v>0</v>
      </c>
    </row>
    <row r="82" spans="1:27">
      <c r="A82" s="35"/>
      <c r="B82" s="27"/>
      <c r="C82" s="168"/>
      <c r="D82" s="164"/>
      <c r="E82" s="37"/>
      <c r="F82" s="33"/>
      <c r="G82" s="34"/>
      <c r="H82" s="68"/>
      <c r="I82" s="161"/>
      <c r="J82" s="163"/>
      <c r="K82" s="164"/>
      <c r="L82" s="164"/>
      <c r="M82" s="164"/>
      <c r="N82" s="163"/>
      <c r="O82" s="164"/>
      <c r="P82" s="164"/>
      <c r="Q82" s="164"/>
      <c r="R82" s="163"/>
      <c r="S82" s="164"/>
      <c r="T82" s="164"/>
      <c r="U82" s="164"/>
      <c r="V82" s="163"/>
      <c r="W82" s="164"/>
      <c r="X82" s="164"/>
      <c r="Y82" s="164"/>
      <c r="Z82" s="163"/>
      <c r="AA82" s="164"/>
    </row>
    <row r="83" spans="1:27" ht="26.4" customHeight="1">
      <c r="A83" s="35"/>
      <c r="B83" s="27"/>
      <c r="C83" s="191" t="s">
        <v>275</v>
      </c>
      <c r="D83" s="164"/>
      <c r="E83" s="37"/>
      <c r="F83" s="33"/>
      <c r="G83" s="34"/>
      <c r="H83" s="68"/>
      <c r="I83" s="161"/>
      <c r="J83" s="163"/>
      <c r="K83" s="164"/>
      <c r="L83" s="164"/>
      <c r="M83" s="164"/>
      <c r="N83" s="163"/>
      <c r="O83" s="164"/>
      <c r="P83" s="164"/>
      <c r="Q83" s="164"/>
      <c r="R83" s="163"/>
      <c r="S83" s="164"/>
      <c r="T83" s="164"/>
      <c r="U83" s="164"/>
      <c r="V83" s="163"/>
      <c r="W83" s="164"/>
      <c r="X83" s="164"/>
      <c r="Y83" s="164"/>
      <c r="Z83" s="163"/>
      <c r="AA83" s="164"/>
    </row>
    <row r="84" spans="1:27" ht="27.6">
      <c r="A84" s="35"/>
      <c r="B84" s="27"/>
      <c r="C84" s="168" t="s">
        <v>924</v>
      </c>
      <c r="D84" s="164" t="s">
        <v>6</v>
      </c>
      <c r="E84" s="29">
        <f t="shared" ref="E84:E87" si="79">I84+M84+Q84+U84+Y84</f>
        <v>1</v>
      </c>
      <c r="F84" s="163">
        <v>504.274</v>
      </c>
      <c r="G84" s="32">
        <f t="shared" ref="G84:G89" si="80">K84+O84+S84+W84+AA84</f>
        <v>504.274</v>
      </c>
      <c r="H84" s="68"/>
      <c r="I84" s="161">
        <v>1</v>
      </c>
      <c r="J84" s="32">
        <v>504.274</v>
      </c>
      <c r="K84" s="163">
        <f t="shared" ref="K84:K88" si="81">J84*I84</f>
        <v>504.274</v>
      </c>
      <c r="L84" s="164"/>
      <c r="M84" s="164"/>
      <c r="N84" s="163"/>
      <c r="O84" s="163">
        <f t="shared" ref="O84:O89" si="82">N84*M84</f>
        <v>0</v>
      </c>
      <c r="P84" s="164"/>
      <c r="Q84" s="164"/>
      <c r="R84" s="32"/>
      <c r="S84" s="163">
        <f t="shared" ref="S84:S88" si="83">R84*Q84</f>
        <v>0</v>
      </c>
      <c r="T84" s="164"/>
      <c r="U84" s="164"/>
      <c r="V84" s="32"/>
      <c r="W84" s="163">
        <f t="shared" ref="W84:W88" si="84">V84*U84</f>
        <v>0</v>
      </c>
      <c r="X84" s="164"/>
      <c r="Y84" s="164"/>
      <c r="Z84" s="32"/>
      <c r="AA84" s="163">
        <f t="shared" ref="AA84:AA88" si="85">Z84*Y84</f>
        <v>0</v>
      </c>
    </row>
    <row r="85" spans="1:27" ht="27.6">
      <c r="A85" s="35"/>
      <c r="B85" s="27"/>
      <c r="C85" s="168" t="s">
        <v>925</v>
      </c>
      <c r="D85" s="164" t="s">
        <v>6</v>
      </c>
      <c r="E85" s="29">
        <f t="shared" si="79"/>
        <v>1</v>
      </c>
      <c r="F85" s="163">
        <v>2813.114</v>
      </c>
      <c r="G85" s="32">
        <f t="shared" si="80"/>
        <v>2813.114</v>
      </c>
      <c r="H85" s="68"/>
      <c r="I85" s="161"/>
      <c r="J85" s="32"/>
      <c r="K85" s="163">
        <f t="shared" si="81"/>
        <v>0</v>
      </c>
      <c r="L85" s="164"/>
      <c r="M85" s="164">
        <v>1</v>
      </c>
      <c r="N85" s="163">
        <v>2813.114</v>
      </c>
      <c r="O85" s="163">
        <f t="shared" si="82"/>
        <v>2813.114</v>
      </c>
      <c r="P85" s="164"/>
      <c r="Q85" s="164"/>
      <c r="R85" s="32"/>
      <c r="S85" s="163">
        <f t="shared" si="83"/>
        <v>0</v>
      </c>
      <c r="T85" s="164"/>
      <c r="U85" s="164"/>
      <c r="V85" s="32"/>
      <c r="W85" s="163">
        <f t="shared" si="84"/>
        <v>0</v>
      </c>
      <c r="X85" s="164"/>
      <c r="Y85" s="164"/>
      <c r="Z85" s="32"/>
      <c r="AA85" s="163">
        <f t="shared" si="85"/>
        <v>0</v>
      </c>
    </row>
    <row r="86" spans="1:27" ht="27.6">
      <c r="A86" s="35"/>
      <c r="B86" s="27"/>
      <c r="C86" s="168" t="s">
        <v>926</v>
      </c>
      <c r="D86" s="164" t="s">
        <v>6</v>
      </c>
      <c r="E86" s="29">
        <f t="shared" si="79"/>
        <v>1</v>
      </c>
      <c r="F86" s="163">
        <v>3957.9749999999999</v>
      </c>
      <c r="G86" s="32">
        <f t="shared" si="80"/>
        <v>3957.9749999999999</v>
      </c>
      <c r="H86" s="68"/>
      <c r="I86" s="161"/>
      <c r="J86" s="32"/>
      <c r="K86" s="163">
        <f t="shared" si="81"/>
        <v>0</v>
      </c>
      <c r="L86" s="164"/>
      <c r="M86" s="164">
        <v>1</v>
      </c>
      <c r="N86" s="163">
        <v>3957.9749999999999</v>
      </c>
      <c r="O86" s="163">
        <f t="shared" si="82"/>
        <v>3957.9749999999999</v>
      </c>
      <c r="P86" s="164"/>
      <c r="Q86" s="164"/>
      <c r="R86" s="32"/>
      <c r="S86" s="163">
        <f t="shared" si="83"/>
        <v>0</v>
      </c>
      <c r="T86" s="164"/>
      <c r="U86" s="164"/>
      <c r="V86" s="32"/>
      <c r="W86" s="163">
        <f t="shared" si="84"/>
        <v>0</v>
      </c>
      <c r="X86" s="164"/>
      <c r="Y86" s="164"/>
      <c r="Z86" s="32"/>
      <c r="AA86" s="163">
        <f t="shared" si="85"/>
        <v>0</v>
      </c>
    </row>
    <row r="87" spans="1:27" ht="27.6">
      <c r="A87" s="35"/>
      <c r="B87" s="27"/>
      <c r="C87" s="168" t="s">
        <v>927</v>
      </c>
      <c r="D87" s="164" t="s">
        <v>6</v>
      </c>
      <c r="E87" s="29">
        <f t="shared" si="79"/>
        <v>1</v>
      </c>
      <c r="F87" s="163">
        <v>1011.1</v>
      </c>
      <c r="G87" s="32">
        <f t="shared" si="80"/>
        <v>1011.1</v>
      </c>
      <c r="H87" s="68"/>
      <c r="I87" s="161"/>
      <c r="J87" s="32"/>
      <c r="K87" s="163">
        <f t="shared" si="81"/>
        <v>0</v>
      </c>
      <c r="L87" s="164"/>
      <c r="M87" s="164">
        <v>1</v>
      </c>
      <c r="N87" s="163">
        <v>1011.1</v>
      </c>
      <c r="O87" s="163">
        <f t="shared" si="82"/>
        <v>1011.1</v>
      </c>
      <c r="P87" s="164"/>
      <c r="Q87" s="164"/>
      <c r="R87" s="32"/>
      <c r="S87" s="163">
        <f t="shared" si="83"/>
        <v>0</v>
      </c>
      <c r="T87" s="164"/>
      <c r="U87" s="164"/>
      <c r="V87" s="32"/>
      <c r="W87" s="163">
        <f t="shared" si="84"/>
        <v>0</v>
      </c>
      <c r="X87" s="164"/>
      <c r="Y87" s="164"/>
      <c r="Z87" s="32"/>
      <c r="AA87" s="163">
        <f t="shared" si="85"/>
        <v>0</v>
      </c>
    </row>
    <row r="88" spans="1:27" ht="27.6">
      <c r="A88" s="35"/>
      <c r="B88" s="27"/>
      <c r="C88" s="190" t="s">
        <v>928</v>
      </c>
      <c r="D88" s="164" t="s">
        <v>6</v>
      </c>
      <c r="E88" s="372">
        <v>0</v>
      </c>
      <c r="F88" s="163"/>
      <c r="G88" s="32">
        <f t="shared" si="80"/>
        <v>0</v>
      </c>
      <c r="H88" s="68"/>
      <c r="I88" s="161"/>
      <c r="J88" s="32"/>
      <c r="K88" s="163">
        <f t="shared" si="81"/>
        <v>0</v>
      </c>
      <c r="L88" s="164"/>
      <c r="M88" s="371">
        <v>0</v>
      </c>
      <c r="N88" s="163"/>
      <c r="O88" s="163">
        <f t="shared" si="82"/>
        <v>0</v>
      </c>
      <c r="P88" s="164"/>
      <c r="Q88" s="164"/>
      <c r="R88" s="32"/>
      <c r="S88" s="163">
        <f t="shared" si="83"/>
        <v>0</v>
      </c>
      <c r="T88" s="164"/>
      <c r="U88" s="164"/>
      <c r="V88" s="32"/>
      <c r="W88" s="163">
        <f t="shared" si="84"/>
        <v>0</v>
      </c>
      <c r="X88" s="164"/>
      <c r="Y88" s="164"/>
      <c r="Z88" s="32"/>
      <c r="AA88" s="163">
        <f t="shared" si="85"/>
        <v>0</v>
      </c>
    </row>
    <row r="89" spans="1:27" ht="41.4">
      <c r="A89" s="35"/>
      <c r="B89" s="27"/>
      <c r="C89" s="190" t="s">
        <v>929</v>
      </c>
      <c r="D89" s="164" t="s">
        <v>295</v>
      </c>
      <c r="E89" s="372">
        <v>1</v>
      </c>
      <c r="F89" s="163">
        <v>920.36</v>
      </c>
      <c r="G89" s="32">
        <f t="shared" si="80"/>
        <v>920.36</v>
      </c>
      <c r="H89" s="68"/>
      <c r="I89" s="161"/>
      <c r="J89" s="386"/>
      <c r="K89" s="163"/>
      <c r="L89" s="164"/>
      <c r="M89" s="371">
        <v>1</v>
      </c>
      <c r="N89" s="163">
        <v>920.36</v>
      </c>
      <c r="O89" s="163">
        <f t="shared" si="82"/>
        <v>920.36</v>
      </c>
      <c r="P89" s="164"/>
      <c r="Q89" s="164"/>
      <c r="R89" s="386"/>
      <c r="S89" s="163"/>
      <c r="T89" s="164"/>
      <c r="U89" s="164"/>
      <c r="V89" s="386"/>
      <c r="W89" s="163"/>
      <c r="X89" s="164"/>
      <c r="Y89" s="164"/>
      <c r="Z89" s="386"/>
      <c r="AA89" s="163"/>
    </row>
    <row r="90" spans="1:27">
      <c r="A90" s="35"/>
      <c r="B90" s="27"/>
      <c r="C90" s="190"/>
      <c r="D90" s="164"/>
      <c r="E90" s="29"/>
      <c r="F90" s="33"/>
      <c r="G90" s="32"/>
      <c r="H90" s="68"/>
      <c r="I90" s="161"/>
      <c r="J90" s="163"/>
      <c r="K90" s="163"/>
      <c r="L90" s="164"/>
      <c r="M90" s="164"/>
      <c r="N90" s="163"/>
      <c r="O90" s="163"/>
      <c r="P90" s="164"/>
      <c r="Q90" s="164"/>
      <c r="R90" s="163"/>
      <c r="S90" s="163"/>
      <c r="T90" s="164"/>
      <c r="U90" s="164"/>
      <c r="V90" s="163"/>
      <c r="W90" s="163"/>
      <c r="X90" s="164"/>
      <c r="Y90" s="164"/>
      <c r="Z90" s="163"/>
      <c r="AA90" s="163"/>
    </row>
    <row r="91" spans="1:27">
      <c r="A91" s="35"/>
      <c r="B91" s="27"/>
      <c r="C91" s="191" t="s">
        <v>695</v>
      </c>
      <c r="D91" s="164"/>
      <c r="E91" s="37"/>
      <c r="F91" s="33"/>
      <c r="G91" s="34"/>
      <c r="H91" s="68"/>
      <c r="I91" s="161"/>
      <c r="J91" s="163"/>
      <c r="K91" s="164"/>
      <c r="L91" s="164"/>
      <c r="M91" s="164"/>
      <c r="N91" s="163"/>
      <c r="O91" s="164"/>
      <c r="P91" s="164"/>
      <c r="Q91" s="164"/>
      <c r="R91" s="163"/>
      <c r="S91" s="164"/>
      <c r="T91" s="164"/>
      <c r="U91" s="164"/>
      <c r="V91" s="163"/>
      <c r="W91" s="164"/>
      <c r="X91" s="164"/>
      <c r="Y91" s="164"/>
      <c r="Z91" s="163"/>
      <c r="AA91" s="164"/>
    </row>
    <row r="92" spans="1:27">
      <c r="A92" s="35"/>
      <c r="B92" s="27"/>
      <c r="C92" s="190" t="s">
        <v>696</v>
      </c>
      <c r="D92" s="164" t="s">
        <v>6</v>
      </c>
      <c r="E92" s="29">
        <f t="shared" ref="E92:E97" si="86">I92+M92+Q92+U92+Y92</f>
        <v>1</v>
      </c>
      <c r="F92" s="163">
        <v>4354.8500000000004</v>
      </c>
      <c r="G92" s="32">
        <f t="shared" ref="G92:G98" si="87">K92+O92+S92+W92+AA92</f>
        <v>4354.8500000000004</v>
      </c>
      <c r="H92" s="68"/>
      <c r="I92" s="161">
        <v>1</v>
      </c>
      <c r="J92" s="163">
        <v>4354.8500000000004</v>
      </c>
      <c r="K92" s="163">
        <f t="shared" ref="K92:K98" si="88">J92*I92</f>
        <v>4354.8500000000004</v>
      </c>
      <c r="L92" s="164"/>
      <c r="M92" s="164"/>
      <c r="N92" s="163"/>
      <c r="O92" s="163">
        <f t="shared" ref="O92:O98" si="89">N92*M92</f>
        <v>0</v>
      </c>
      <c r="P92" s="164"/>
      <c r="Q92" s="164"/>
      <c r="R92" s="163"/>
      <c r="S92" s="163">
        <f t="shared" ref="S92:S98" si="90">R92*Q92</f>
        <v>0</v>
      </c>
      <c r="T92" s="164"/>
      <c r="U92" s="164"/>
      <c r="V92" s="163"/>
      <c r="W92" s="163">
        <f t="shared" ref="W92:W98" si="91">V92*U92</f>
        <v>0</v>
      </c>
      <c r="X92" s="164"/>
      <c r="Y92" s="164"/>
      <c r="Z92" s="163"/>
      <c r="AA92" s="163">
        <f t="shared" ref="AA92:AA98" si="92">Z92*Y92</f>
        <v>0</v>
      </c>
    </row>
    <row r="93" spans="1:27">
      <c r="A93" s="35"/>
      <c r="B93" s="27"/>
      <c r="C93" s="190" t="s">
        <v>697</v>
      </c>
      <c r="D93" s="164" t="s">
        <v>6</v>
      </c>
      <c r="E93" s="29">
        <f t="shared" si="86"/>
        <v>1</v>
      </c>
      <c r="F93" s="163">
        <v>20445.509999999998</v>
      </c>
      <c r="G93" s="32">
        <f t="shared" si="87"/>
        <v>20445.509999999998</v>
      </c>
      <c r="H93" s="68"/>
      <c r="I93" s="161">
        <v>1</v>
      </c>
      <c r="J93" s="163">
        <v>20445.509999999998</v>
      </c>
      <c r="K93" s="163">
        <f t="shared" si="88"/>
        <v>20445.509999999998</v>
      </c>
      <c r="L93" s="164"/>
      <c r="M93" s="164"/>
      <c r="N93" s="163"/>
      <c r="O93" s="163">
        <f t="shared" si="89"/>
        <v>0</v>
      </c>
      <c r="P93" s="164"/>
      <c r="Q93" s="164"/>
      <c r="R93" s="163"/>
      <c r="S93" s="163">
        <f t="shared" si="90"/>
        <v>0</v>
      </c>
      <c r="T93" s="164"/>
      <c r="U93" s="164"/>
      <c r="V93" s="163"/>
      <c r="W93" s="163">
        <f t="shared" si="91"/>
        <v>0</v>
      </c>
      <c r="X93" s="164"/>
      <c r="Y93" s="164"/>
      <c r="Z93" s="163"/>
      <c r="AA93" s="163">
        <f t="shared" si="92"/>
        <v>0</v>
      </c>
    </row>
    <row r="94" spans="1:27" ht="27.6">
      <c r="A94" s="35"/>
      <c r="B94" s="27"/>
      <c r="C94" s="190" t="s">
        <v>930</v>
      </c>
      <c r="D94" s="164" t="s">
        <v>6</v>
      </c>
      <c r="E94" s="29">
        <f t="shared" si="86"/>
        <v>1</v>
      </c>
      <c r="F94" s="163">
        <v>504.274</v>
      </c>
      <c r="G94" s="32">
        <f t="shared" si="87"/>
        <v>504.274</v>
      </c>
      <c r="H94" s="68"/>
      <c r="I94" s="161">
        <v>1</v>
      </c>
      <c r="J94" s="163">
        <v>504.274</v>
      </c>
      <c r="K94" s="163">
        <f t="shared" si="88"/>
        <v>504.274</v>
      </c>
      <c r="L94" s="164"/>
      <c r="M94" s="164"/>
      <c r="N94" s="163"/>
      <c r="O94" s="163">
        <f t="shared" si="89"/>
        <v>0</v>
      </c>
      <c r="P94" s="164"/>
      <c r="Q94" s="164"/>
      <c r="R94" s="163"/>
      <c r="S94" s="163">
        <f t="shared" si="90"/>
        <v>0</v>
      </c>
      <c r="T94" s="164"/>
      <c r="U94" s="164"/>
      <c r="V94" s="163"/>
      <c r="W94" s="163">
        <f t="shared" si="91"/>
        <v>0</v>
      </c>
      <c r="X94" s="164"/>
      <c r="Y94" s="164"/>
      <c r="Z94" s="163"/>
      <c r="AA94" s="163">
        <f t="shared" si="92"/>
        <v>0</v>
      </c>
    </row>
    <row r="95" spans="1:27" ht="41.4">
      <c r="A95" s="35"/>
      <c r="B95" s="27"/>
      <c r="C95" s="190" t="s">
        <v>931</v>
      </c>
      <c r="D95" s="371" t="s">
        <v>920</v>
      </c>
      <c r="E95" s="372">
        <f t="shared" si="86"/>
        <v>0</v>
      </c>
      <c r="F95" s="33"/>
      <c r="G95" s="32">
        <f t="shared" si="87"/>
        <v>0</v>
      </c>
      <c r="H95" s="68"/>
      <c r="I95" s="161"/>
      <c r="J95" s="163"/>
      <c r="K95" s="163">
        <f t="shared" si="88"/>
        <v>0</v>
      </c>
      <c r="L95" s="164"/>
      <c r="M95" s="371">
        <v>0</v>
      </c>
      <c r="N95" s="163"/>
      <c r="O95" s="163">
        <f t="shared" si="89"/>
        <v>0</v>
      </c>
      <c r="P95" s="164"/>
      <c r="Q95" s="164"/>
      <c r="R95" s="163"/>
      <c r="S95" s="163">
        <f t="shared" si="90"/>
        <v>0</v>
      </c>
      <c r="T95" s="164"/>
      <c r="U95" s="164"/>
      <c r="V95" s="163"/>
      <c r="W95" s="163">
        <f t="shared" si="91"/>
        <v>0</v>
      </c>
      <c r="X95" s="164"/>
      <c r="Y95" s="164"/>
      <c r="Z95" s="163"/>
      <c r="AA95" s="163">
        <f t="shared" si="92"/>
        <v>0</v>
      </c>
    </row>
    <row r="96" spans="1:27" ht="27.6">
      <c r="A96" s="35"/>
      <c r="B96" s="27"/>
      <c r="C96" s="190" t="s">
        <v>932</v>
      </c>
      <c r="D96" s="164" t="s">
        <v>6</v>
      </c>
      <c r="E96" s="29">
        <f t="shared" si="86"/>
        <v>1</v>
      </c>
      <c r="F96" s="163">
        <v>1645.1010000000001</v>
      </c>
      <c r="G96" s="32">
        <f t="shared" si="87"/>
        <v>1645.1010000000001</v>
      </c>
      <c r="H96" s="68"/>
      <c r="I96" s="161"/>
      <c r="J96" s="163"/>
      <c r="K96" s="163">
        <f t="shared" si="88"/>
        <v>0</v>
      </c>
      <c r="L96" s="164"/>
      <c r="M96" s="164">
        <v>1</v>
      </c>
      <c r="N96" s="163">
        <v>1645.1010000000001</v>
      </c>
      <c r="O96" s="163">
        <f t="shared" si="89"/>
        <v>1645.1010000000001</v>
      </c>
      <c r="P96" s="164"/>
      <c r="Q96" s="164"/>
      <c r="R96" s="163"/>
      <c r="S96" s="163">
        <f t="shared" si="90"/>
        <v>0</v>
      </c>
      <c r="T96" s="164"/>
      <c r="U96" s="164"/>
      <c r="V96" s="163"/>
      <c r="W96" s="163">
        <f t="shared" si="91"/>
        <v>0</v>
      </c>
      <c r="X96" s="164"/>
      <c r="Y96" s="164"/>
      <c r="Z96" s="163"/>
      <c r="AA96" s="163">
        <f t="shared" si="92"/>
        <v>0</v>
      </c>
    </row>
    <row r="97" spans="1:27" ht="27.6">
      <c r="A97" s="35"/>
      <c r="B97" s="27"/>
      <c r="C97" s="190" t="s">
        <v>933</v>
      </c>
      <c r="D97" s="164" t="s">
        <v>6</v>
      </c>
      <c r="E97" s="29">
        <f t="shared" si="86"/>
        <v>1</v>
      </c>
      <c r="F97" s="163">
        <v>1011.1</v>
      </c>
      <c r="G97" s="32">
        <f t="shared" si="87"/>
        <v>1011.1</v>
      </c>
      <c r="H97" s="68"/>
      <c r="I97" s="161"/>
      <c r="J97" s="163"/>
      <c r="K97" s="163">
        <f t="shared" si="88"/>
        <v>0</v>
      </c>
      <c r="L97" s="164"/>
      <c r="M97" s="164">
        <v>1</v>
      </c>
      <c r="N97" s="163">
        <v>1011.1</v>
      </c>
      <c r="O97" s="163">
        <f t="shared" si="89"/>
        <v>1011.1</v>
      </c>
      <c r="P97" s="164"/>
      <c r="Q97" s="164"/>
      <c r="R97" s="163"/>
      <c r="S97" s="163">
        <f t="shared" si="90"/>
        <v>0</v>
      </c>
      <c r="T97" s="164"/>
      <c r="U97" s="164"/>
      <c r="V97" s="163"/>
      <c r="W97" s="163">
        <f t="shared" si="91"/>
        <v>0</v>
      </c>
      <c r="X97" s="164"/>
      <c r="Y97" s="164"/>
      <c r="Z97" s="163"/>
      <c r="AA97" s="163">
        <f t="shared" si="92"/>
        <v>0</v>
      </c>
    </row>
    <row r="98" spans="1:27" ht="27.6">
      <c r="A98" s="35"/>
      <c r="B98" s="27"/>
      <c r="C98" s="190" t="s">
        <v>934</v>
      </c>
      <c r="D98" s="164" t="s">
        <v>6</v>
      </c>
      <c r="E98" s="29">
        <v>0</v>
      </c>
      <c r="F98" s="163"/>
      <c r="G98" s="32">
        <f t="shared" si="87"/>
        <v>0</v>
      </c>
      <c r="H98" s="68"/>
      <c r="I98" s="161"/>
      <c r="J98" s="163"/>
      <c r="K98" s="163">
        <f t="shared" si="88"/>
        <v>0</v>
      </c>
      <c r="L98" s="164"/>
      <c r="M98" s="164">
        <v>0</v>
      </c>
      <c r="N98" s="163"/>
      <c r="O98" s="163">
        <f t="shared" si="89"/>
        <v>0</v>
      </c>
      <c r="P98" s="164"/>
      <c r="Q98" s="164"/>
      <c r="R98" s="163"/>
      <c r="S98" s="163">
        <f t="shared" si="90"/>
        <v>0</v>
      </c>
      <c r="T98" s="164"/>
      <c r="U98" s="164"/>
      <c r="V98" s="163"/>
      <c r="W98" s="163">
        <f t="shared" si="91"/>
        <v>0</v>
      </c>
      <c r="X98" s="164"/>
      <c r="Y98" s="164"/>
      <c r="Z98" s="163"/>
      <c r="AA98" s="163">
        <f t="shared" si="92"/>
        <v>0</v>
      </c>
    </row>
    <row r="99" spans="1:27">
      <c r="A99" s="35"/>
      <c r="B99" s="27"/>
      <c r="C99" s="168"/>
      <c r="D99" s="164"/>
      <c r="E99" s="37"/>
      <c r="F99" s="33"/>
      <c r="G99" s="34"/>
      <c r="H99" s="68"/>
      <c r="I99" s="161"/>
      <c r="J99" s="163"/>
      <c r="K99" s="164"/>
      <c r="L99" s="164"/>
      <c r="M99" s="164"/>
      <c r="N99" s="163"/>
      <c r="O99" s="164"/>
      <c r="P99" s="164"/>
      <c r="Q99" s="164"/>
      <c r="R99" s="163"/>
      <c r="S99" s="164"/>
      <c r="T99" s="164"/>
      <c r="U99" s="164"/>
      <c r="V99" s="163"/>
      <c r="W99" s="164"/>
      <c r="X99" s="164"/>
      <c r="Y99" s="164"/>
      <c r="Z99" s="163"/>
      <c r="AA99" s="164"/>
    </row>
    <row r="100" spans="1:27" ht="27.6">
      <c r="A100" s="35"/>
      <c r="B100" s="27"/>
      <c r="C100" s="172" t="s">
        <v>278</v>
      </c>
      <c r="D100" s="164"/>
      <c r="E100" s="37"/>
      <c r="F100" s="33"/>
      <c r="G100" s="34"/>
      <c r="H100" s="68"/>
      <c r="I100" s="161"/>
      <c r="J100" s="163"/>
      <c r="K100" s="164"/>
      <c r="L100" s="164"/>
      <c r="M100" s="164"/>
      <c r="N100" s="163"/>
      <c r="O100" s="164"/>
      <c r="P100" s="164"/>
      <c r="Q100" s="164"/>
      <c r="R100" s="163"/>
      <c r="S100" s="164"/>
      <c r="T100" s="164"/>
      <c r="U100" s="164"/>
      <c r="V100" s="163"/>
      <c r="W100" s="164"/>
      <c r="X100" s="164"/>
      <c r="Y100" s="164"/>
      <c r="Z100" s="163"/>
      <c r="AA100" s="164"/>
    </row>
    <row r="101" spans="1:27">
      <c r="A101" s="35"/>
      <c r="B101" s="27"/>
      <c r="C101" s="168" t="s">
        <v>698</v>
      </c>
      <c r="D101" s="164" t="s">
        <v>6</v>
      </c>
      <c r="E101" s="29">
        <f t="shared" ref="E101:E111" si="93">I101+M101+Q101+U101+Y101</f>
        <v>1</v>
      </c>
      <c r="F101" s="163">
        <v>620.85199999999998</v>
      </c>
      <c r="G101" s="32">
        <f t="shared" ref="G101:G111" si="94">K101+O101+S101+W101+AA101</f>
        <v>620.85199999999998</v>
      </c>
      <c r="H101" s="68"/>
      <c r="I101" s="161">
        <v>1</v>
      </c>
      <c r="J101" s="163">
        <v>620.85199999999998</v>
      </c>
      <c r="K101" s="163">
        <f t="shared" ref="K101:K107" si="95">J101*I101</f>
        <v>620.85199999999998</v>
      </c>
      <c r="L101" s="164"/>
      <c r="M101" s="164"/>
      <c r="N101" s="163"/>
      <c r="O101" s="163">
        <f t="shared" ref="O101:O105" si="96">N101*M101</f>
        <v>0</v>
      </c>
      <c r="P101" s="164"/>
      <c r="Q101" s="164"/>
      <c r="R101" s="163"/>
      <c r="S101" s="163">
        <f t="shared" ref="S101:S105" si="97">R101*Q101</f>
        <v>0</v>
      </c>
      <c r="T101" s="164"/>
      <c r="U101" s="164"/>
      <c r="V101" s="163"/>
      <c r="W101" s="163">
        <f t="shared" ref="W101:W105" si="98">V101*U101</f>
        <v>0</v>
      </c>
      <c r="X101" s="164"/>
      <c r="Y101" s="164"/>
      <c r="Z101" s="163"/>
      <c r="AA101" s="163">
        <f t="shared" ref="AA101:AA105" si="99">Z101*Y101</f>
        <v>0</v>
      </c>
    </row>
    <row r="102" spans="1:27" ht="41.4">
      <c r="A102" s="35"/>
      <c r="B102" s="27"/>
      <c r="C102" s="168" t="s">
        <v>935</v>
      </c>
      <c r="D102" s="164" t="s">
        <v>6</v>
      </c>
      <c r="E102" s="372">
        <f t="shared" si="93"/>
        <v>2</v>
      </c>
      <c r="F102" s="163">
        <v>757.53499999999997</v>
      </c>
      <c r="G102" s="32">
        <f t="shared" si="94"/>
        <v>1515.07</v>
      </c>
      <c r="H102" s="68"/>
      <c r="I102" s="374">
        <v>2</v>
      </c>
      <c r="J102" s="163">
        <v>757.53499999999997</v>
      </c>
      <c r="K102" s="163">
        <f t="shared" si="95"/>
        <v>1515.07</v>
      </c>
      <c r="L102" s="164"/>
      <c r="M102" s="164"/>
      <c r="N102" s="163"/>
      <c r="O102" s="163">
        <f t="shared" si="96"/>
        <v>0</v>
      </c>
      <c r="P102" s="164"/>
      <c r="Q102" s="164"/>
      <c r="R102" s="163"/>
      <c r="S102" s="163">
        <f t="shared" si="97"/>
        <v>0</v>
      </c>
      <c r="T102" s="164"/>
      <c r="U102" s="164"/>
      <c r="V102" s="163"/>
      <c r="W102" s="163">
        <f t="shared" si="98"/>
        <v>0</v>
      </c>
      <c r="X102" s="164"/>
      <c r="Y102" s="164"/>
      <c r="Z102" s="163"/>
      <c r="AA102" s="163">
        <f t="shared" si="99"/>
        <v>0</v>
      </c>
    </row>
    <row r="103" spans="1:27" ht="41.4">
      <c r="A103" s="35"/>
      <c r="B103" s="27"/>
      <c r="C103" s="168" t="s">
        <v>936</v>
      </c>
      <c r="D103" s="164" t="s">
        <v>6</v>
      </c>
      <c r="E103" s="372">
        <f t="shared" si="93"/>
        <v>2</v>
      </c>
      <c r="F103" s="163">
        <v>1249.6210000000001</v>
      </c>
      <c r="G103" s="32">
        <f t="shared" si="94"/>
        <v>2499.2420000000002</v>
      </c>
      <c r="H103" s="68"/>
      <c r="I103" s="374">
        <v>2</v>
      </c>
      <c r="J103" s="163">
        <v>1249.6210000000001</v>
      </c>
      <c r="K103" s="163">
        <f t="shared" si="95"/>
        <v>2499.2420000000002</v>
      </c>
      <c r="L103" s="164"/>
      <c r="M103" s="164"/>
      <c r="N103" s="163"/>
      <c r="O103" s="163">
        <f t="shared" si="96"/>
        <v>0</v>
      </c>
      <c r="P103" s="164"/>
      <c r="Q103" s="164"/>
      <c r="R103" s="163"/>
      <c r="S103" s="163">
        <f t="shared" si="97"/>
        <v>0</v>
      </c>
      <c r="T103" s="164"/>
      <c r="U103" s="164"/>
      <c r="V103" s="163"/>
      <c r="W103" s="163">
        <f t="shared" si="98"/>
        <v>0</v>
      </c>
      <c r="X103" s="164"/>
      <c r="Y103" s="164"/>
      <c r="Z103" s="163"/>
      <c r="AA103" s="163">
        <f t="shared" si="99"/>
        <v>0</v>
      </c>
    </row>
    <row r="104" spans="1:27" ht="41.4">
      <c r="A104" s="35"/>
      <c r="B104" s="27"/>
      <c r="C104" s="168" t="s">
        <v>937</v>
      </c>
      <c r="D104" s="164" t="s">
        <v>6</v>
      </c>
      <c r="E104" s="372">
        <f t="shared" si="93"/>
        <v>2</v>
      </c>
      <c r="F104" s="163">
        <v>1249.6210000000001</v>
      </c>
      <c r="G104" s="32">
        <f t="shared" si="94"/>
        <v>2499.2420000000002</v>
      </c>
      <c r="H104" s="68"/>
      <c r="I104" s="374">
        <v>2</v>
      </c>
      <c r="J104" s="163">
        <v>1249.6210000000001</v>
      </c>
      <c r="K104" s="163">
        <f t="shared" si="95"/>
        <v>2499.2420000000002</v>
      </c>
      <c r="L104" s="164"/>
      <c r="M104" s="164"/>
      <c r="N104" s="163"/>
      <c r="O104" s="163">
        <f t="shared" si="96"/>
        <v>0</v>
      </c>
      <c r="P104" s="164"/>
      <c r="Q104" s="164"/>
      <c r="R104" s="163"/>
      <c r="S104" s="163">
        <f t="shared" si="97"/>
        <v>0</v>
      </c>
      <c r="T104" s="164"/>
      <c r="U104" s="164"/>
      <c r="V104" s="163"/>
      <c r="W104" s="163">
        <f t="shared" si="98"/>
        <v>0</v>
      </c>
      <c r="X104" s="164"/>
      <c r="Y104" s="164"/>
      <c r="Z104" s="163"/>
      <c r="AA104" s="163">
        <f t="shared" si="99"/>
        <v>0</v>
      </c>
    </row>
    <row r="105" spans="1:27" ht="41.4">
      <c r="A105" s="35"/>
      <c r="B105" s="27"/>
      <c r="C105" s="168" t="s">
        <v>938</v>
      </c>
      <c r="D105" s="164" t="s">
        <v>6</v>
      </c>
      <c r="E105" s="372">
        <f t="shared" si="93"/>
        <v>2</v>
      </c>
      <c r="F105" s="163">
        <v>645.71299999999997</v>
      </c>
      <c r="G105" s="32">
        <f t="shared" si="94"/>
        <v>1291.4259999999999</v>
      </c>
      <c r="H105" s="68"/>
      <c r="I105" s="374">
        <v>2</v>
      </c>
      <c r="J105" s="163">
        <v>645.71299999999997</v>
      </c>
      <c r="K105" s="163">
        <f t="shared" si="95"/>
        <v>1291.4259999999999</v>
      </c>
      <c r="L105" s="164"/>
      <c r="M105" s="164"/>
      <c r="N105" s="163"/>
      <c r="O105" s="163">
        <f t="shared" si="96"/>
        <v>0</v>
      </c>
      <c r="P105" s="164"/>
      <c r="Q105" s="164"/>
      <c r="R105" s="163"/>
      <c r="S105" s="163">
        <f t="shared" si="97"/>
        <v>0</v>
      </c>
      <c r="T105" s="164"/>
      <c r="U105" s="164"/>
      <c r="V105" s="163"/>
      <c r="W105" s="163">
        <f t="shared" si="98"/>
        <v>0</v>
      </c>
      <c r="X105" s="164"/>
      <c r="Y105" s="164"/>
      <c r="Z105" s="163"/>
      <c r="AA105" s="163">
        <f t="shared" si="99"/>
        <v>0</v>
      </c>
    </row>
    <row r="106" spans="1:27" ht="27.6">
      <c r="A106" s="35"/>
      <c r="B106" s="27"/>
      <c r="C106" s="375" t="s">
        <v>939</v>
      </c>
      <c r="D106" s="371" t="s">
        <v>295</v>
      </c>
      <c r="E106" s="372">
        <f t="shared" si="93"/>
        <v>1</v>
      </c>
      <c r="F106" s="373">
        <v>645.71299999999997</v>
      </c>
      <c r="G106" s="367">
        <f t="shared" si="94"/>
        <v>645.71299999999997</v>
      </c>
      <c r="H106" s="68"/>
      <c r="I106" s="374">
        <v>1</v>
      </c>
      <c r="J106" s="373">
        <v>645.71299999999997</v>
      </c>
      <c r="K106" s="373">
        <f t="shared" si="95"/>
        <v>645.71299999999997</v>
      </c>
      <c r="L106" s="164"/>
      <c r="M106" s="164"/>
      <c r="N106" s="163"/>
      <c r="O106" s="163"/>
      <c r="P106" s="164"/>
      <c r="Q106" s="164"/>
      <c r="R106" s="163"/>
      <c r="S106" s="163"/>
      <c r="T106" s="164"/>
      <c r="U106" s="164"/>
      <c r="V106" s="163"/>
      <c r="W106" s="163"/>
      <c r="X106" s="164"/>
      <c r="Y106" s="164"/>
      <c r="Z106" s="163"/>
      <c r="AA106" s="163"/>
    </row>
    <row r="107" spans="1:27" ht="27.6">
      <c r="A107" s="35"/>
      <c r="B107" s="27"/>
      <c r="C107" s="375" t="s">
        <v>940</v>
      </c>
      <c r="D107" s="371" t="s">
        <v>295</v>
      </c>
      <c r="E107" s="372">
        <f t="shared" si="93"/>
        <v>1</v>
      </c>
      <c r="F107" s="373">
        <v>599.61</v>
      </c>
      <c r="G107" s="367">
        <f t="shared" si="94"/>
        <v>599.61</v>
      </c>
      <c r="H107" s="68"/>
      <c r="I107" s="374">
        <v>1</v>
      </c>
      <c r="J107" s="373">
        <v>599.61</v>
      </c>
      <c r="K107" s="373">
        <f t="shared" si="95"/>
        <v>599.61</v>
      </c>
      <c r="L107" s="164"/>
      <c r="M107" s="164"/>
      <c r="N107" s="163"/>
      <c r="O107" s="163"/>
      <c r="P107" s="164"/>
      <c r="Q107" s="164"/>
      <c r="R107" s="163"/>
      <c r="S107" s="163"/>
      <c r="T107" s="164"/>
      <c r="U107" s="164"/>
      <c r="V107" s="163"/>
      <c r="W107" s="163"/>
      <c r="X107" s="164"/>
      <c r="Y107" s="164"/>
      <c r="Z107" s="163"/>
      <c r="AA107" s="163"/>
    </row>
    <row r="108" spans="1:27">
      <c r="A108" s="35"/>
      <c r="B108" s="27"/>
      <c r="C108" s="168"/>
      <c r="D108" s="164"/>
      <c r="E108" s="29">
        <f t="shared" si="93"/>
        <v>0</v>
      </c>
      <c r="F108" s="33"/>
      <c r="G108" s="32">
        <f t="shared" si="94"/>
        <v>0</v>
      </c>
      <c r="H108" s="68"/>
      <c r="I108" s="161"/>
      <c r="J108" s="163"/>
      <c r="K108" s="164"/>
      <c r="L108" s="164"/>
      <c r="M108" s="164"/>
      <c r="N108" s="163"/>
      <c r="O108" s="164"/>
      <c r="P108" s="164"/>
      <c r="Q108" s="164"/>
      <c r="R108" s="163"/>
      <c r="S108" s="164"/>
      <c r="T108" s="164"/>
      <c r="U108" s="164"/>
      <c r="V108" s="163"/>
      <c r="W108" s="164"/>
      <c r="X108" s="164"/>
      <c r="Y108" s="164"/>
      <c r="Z108" s="163"/>
      <c r="AA108" s="164"/>
    </row>
    <row r="109" spans="1:27" ht="41.4" customHeight="1">
      <c r="A109" s="35"/>
      <c r="B109" s="27"/>
      <c r="C109" s="167" t="s">
        <v>279</v>
      </c>
      <c r="D109" s="164" t="s">
        <v>6</v>
      </c>
      <c r="E109" s="29">
        <f t="shared" si="93"/>
        <v>4</v>
      </c>
      <c r="F109" s="163">
        <v>228.489</v>
      </c>
      <c r="G109" s="32">
        <f t="shared" si="94"/>
        <v>913.95600000000002</v>
      </c>
      <c r="H109" s="68"/>
      <c r="I109" s="161">
        <v>1</v>
      </c>
      <c r="J109" s="163">
        <v>228.489</v>
      </c>
      <c r="K109" s="163">
        <f t="shared" ref="K109:K111" si="100">J109*I109</f>
        <v>228.489</v>
      </c>
      <c r="L109" s="163"/>
      <c r="M109" s="164"/>
      <c r="N109" s="163"/>
      <c r="O109" s="163">
        <f t="shared" ref="O109:O111" si="101">N109*M109</f>
        <v>0</v>
      </c>
      <c r="P109" s="163"/>
      <c r="Q109" s="164">
        <v>1</v>
      </c>
      <c r="R109" s="163">
        <v>228.489</v>
      </c>
      <c r="S109" s="163">
        <f t="shared" ref="S109:S111" si="102">R109*Q109</f>
        <v>228.489</v>
      </c>
      <c r="T109" s="163"/>
      <c r="U109" s="164">
        <v>1</v>
      </c>
      <c r="V109" s="163">
        <v>228.489</v>
      </c>
      <c r="W109" s="163">
        <f t="shared" ref="W109:W111" si="103">V109*U109</f>
        <v>228.489</v>
      </c>
      <c r="X109" s="163"/>
      <c r="Y109" s="164">
        <v>1</v>
      </c>
      <c r="Z109" s="163">
        <v>228.489</v>
      </c>
      <c r="AA109" s="163">
        <f t="shared" ref="AA109:AA111" si="104">Z109*Y109</f>
        <v>228.489</v>
      </c>
    </row>
    <row r="110" spans="1:27">
      <c r="A110" s="35"/>
      <c r="B110" s="27"/>
      <c r="C110" s="169" t="s">
        <v>280</v>
      </c>
      <c r="D110" s="164" t="s">
        <v>249</v>
      </c>
      <c r="E110" s="29">
        <f t="shared" si="93"/>
        <v>0</v>
      </c>
      <c r="F110" s="33"/>
      <c r="G110" s="32">
        <f t="shared" si="94"/>
        <v>0</v>
      </c>
      <c r="H110" s="68"/>
      <c r="I110" s="161"/>
      <c r="J110" s="163">
        <v>0</v>
      </c>
      <c r="K110" s="163">
        <f t="shared" si="100"/>
        <v>0</v>
      </c>
      <c r="L110" s="163"/>
      <c r="M110" s="164"/>
      <c r="N110" s="163">
        <v>0</v>
      </c>
      <c r="O110" s="163">
        <f t="shared" si="101"/>
        <v>0</v>
      </c>
      <c r="P110" s="163"/>
      <c r="Q110" s="164"/>
      <c r="R110" s="163">
        <v>0</v>
      </c>
      <c r="S110" s="163">
        <f t="shared" si="102"/>
        <v>0</v>
      </c>
      <c r="T110" s="163"/>
      <c r="U110" s="164"/>
      <c r="V110" s="163">
        <v>0</v>
      </c>
      <c r="W110" s="163">
        <f t="shared" si="103"/>
        <v>0</v>
      </c>
      <c r="X110" s="163"/>
      <c r="Y110" s="164"/>
      <c r="Z110" s="163">
        <v>0</v>
      </c>
      <c r="AA110" s="163">
        <f t="shared" si="104"/>
        <v>0</v>
      </c>
    </row>
    <row r="111" spans="1:27" ht="27.6">
      <c r="A111" s="35"/>
      <c r="B111" s="27"/>
      <c r="C111" s="169" t="s">
        <v>281</v>
      </c>
      <c r="D111" s="164" t="s">
        <v>6</v>
      </c>
      <c r="E111" s="29">
        <f t="shared" si="93"/>
        <v>4</v>
      </c>
      <c r="F111" s="163">
        <v>141.44499999999999</v>
      </c>
      <c r="G111" s="32">
        <f t="shared" si="94"/>
        <v>565.78</v>
      </c>
      <c r="H111" s="68"/>
      <c r="I111" s="161">
        <v>1</v>
      </c>
      <c r="J111" s="163">
        <v>141.44499999999999</v>
      </c>
      <c r="K111" s="163">
        <f t="shared" si="100"/>
        <v>141.44499999999999</v>
      </c>
      <c r="L111" s="163"/>
      <c r="M111" s="164"/>
      <c r="N111" s="163"/>
      <c r="O111" s="163">
        <f t="shared" si="101"/>
        <v>0</v>
      </c>
      <c r="P111" s="163"/>
      <c r="Q111" s="164">
        <v>1</v>
      </c>
      <c r="R111" s="163">
        <v>141.44499999999999</v>
      </c>
      <c r="S111" s="163">
        <f t="shared" si="102"/>
        <v>141.44499999999999</v>
      </c>
      <c r="T111" s="163"/>
      <c r="U111" s="164">
        <v>1</v>
      </c>
      <c r="V111" s="163">
        <v>141.44499999999999</v>
      </c>
      <c r="W111" s="163">
        <f t="shared" si="103"/>
        <v>141.44499999999999</v>
      </c>
      <c r="X111" s="163"/>
      <c r="Y111" s="164">
        <v>1</v>
      </c>
      <c r="Z111" s="163">
        <v>141.44499999999999</v>
      </c>
      <c r="AA111" s="163">
        <f t="shared" si="104"/>
        <v>141.44499999999999</v>
      </c>
    </row>
    <row r="112" spans="1:27">
      <c r="A112" s="35"/>
      <c r="B112" s="27"/>
      <c r="C112" s="169"/>
      <c r="D112" s="164"/>
      <c r="E112" s="37"/>
      <c r="F112" s="33"/>
      <c r="G112" s="34"/>
      <c r="H112" s="68"/>
      <c r="I112" s="161"/>
      <c r="J112" s="163"/>
      <c r="K112" s="163"/>
      <c r="L112" s="163"/>
      <c r="M112" s="164"/>
      <c r="N112" s="163"/>
      <c r="O112" s="163"/>
      <c r="P112" s="163"/>
      <c r="Q112" s="164"/>
      <c r="R112" s="163"/>
      <c r="S112" s="163"/>
      <c r="T112" s="163"/>
      <c r="U112" s="164"/>
      <c r="V112" s="163"/>
      <c r="W112" s="163"/>
      <c r="X112" s="163"/>
      <c r="Y112" s="164"/>
      <c r="Z112" s="163"/>
      <c r="AA112" s="163"/>
    </row>
    <row r="113" spans="1:27" ht="53.1" customHeight="1">
      <c r="A113" s="35"/>
      <c r="B113" s="27"/>
      <c r="C113" s="167" t="s">
        <v>885</v>
      </c>
      <c r="D113" s="164"/>
      <c r="E113" s="37"/>
      <c r="F113" s="33"/>
      <c r="G113" s="34"/>
      <c r="H113" s="68"/>
      <c r="I113" s="161"/>
      <c r="J113" s="163"/>
      <c r="K113" s="163"/>
      <c r="L113" s="163"/>
      <c r="M113" s="164"/>
      <c r="N113" s="163"/>
      <c r="O113" s="163"/>
      <c r="P113" s="163"/>
      <c r="Q113" s="164"/>
      <c r="R113" s="163"/>
      <c r="S113" s="163"/>
      <c r="T113" s="163"/>
      <c r="U113" s="164"/>
      <c r="V113" s="163"/>
      <c r="W113" s="163"/>
      <c r="X113" s="163"/>
      <c r="Y113" s="164"/>
      <c r="Z113" s="163"/>
      <c r="AA113" s="163"/>
    </row>
    <row r="114" spans="1:27">
      <c r="A114" s="35"/>
      <c r="B114" s="27"/>
      <c r="C114" s="169" t="s">
        <v>886</v>
      </c>
      <c r="D114" s="164" t="s">
        <v>69</v>
      </c>
      <c r="E114" s="29">
        <f t="shared" ref="E114:E119" si="105">I114+M114+Q114+U114+Y114</f>
        <v>1</v>
      </c>
      <c r="F114" s="32">
        <v>429.77699999999999</v>
      </c>
      <c r="G114" s="32">
        <f t="shared" ref="G114:G119" si="106">K114+O114+S114+W114+AA114</f>
        <v>429.77699999999999</v>
      </c>
      <c r="H114" s="68"/>
      <c r="I114" s="161"/>
      <c r="J114" s="163"/>
      <c r="K114" s="163">
        <f t="shared" ref="K114:K119" si="107">J114*I114</f>
        <v>0</v>
      </c>
      <c r="L114" s="163"/>
      <c r="M114" s="164">
        <v>1</v>
      </c>
      <c r="N114" s="32">
        <v>429.77699999999999</v>
      </c>
      <c r="O114" s="163">
        <f t="shared" ref="O114:O119" si="108">N114*M114</f>
        <v>429.77699999999999</v>
      </c>
      <c r="P114" s="163"/>
      <c r="Q114" s="164"/>
      <c r="R114" s="163"/>
      <c r="S114" s="163">
        <f t="shared" ref="S114:S119" si="109">R114*Q114</f>
        <v>0</v>
      </c>
      <c r="T114" s="163"/>
      <c r="U114" s="164"/>
      <c r="V114" s="163"/>
      <c r="W114" s="163">
        <f t="shared" ref="W114:W119" si="110">V114*U114</f>
        <v>0</v>
      </c>
      <c r="X114" s="163"/>
      <c r="Y114" s="164"/>
      <c r="Z114" s="163"/>
      <c r="AA114" s="163">
        <f t="shared" ref="AA114:AA119" si="111">Z114*Y114</f>
        <v>0</v>
      </c>
    </row>
    <row r="115" spans="1:27">
      <c r="A115" s="35"/>
      <c r="B115" s="27"/>
      <c r="C115" s="169" t="s">
        <v>887</v>
      </c>
      <c r="D115" s="164" t="s">
        <v>69</v>
      </c>
      <c r="E115" s="29">
        <f t="shared" si="105"/>
        <v>1</v>
      </c>
      <c r="F115" s="32">
        <v>530.42100000000005</v>
      </c>
      <c r="G115" s="32">
        <f t="shared" si="106"/>
        <v>530.42100000000005</v>
      </c>
      <c r="H115" s="68"/>
      <c r="I115" s="161"/>
      <c r="J115" s="163"/>
      <c r="K115" s="163">
        <f t="shared" si="107"/>
        <v>0</v>
      </c>
      <c r="L115" s="163"/>
      <c r="M115" s="164">
        <v>1</v>
      </c>
      <c r="N115" s="32">
        <v>530.42100000000005</v>
      </c>
      <c r="O115" s="163">
        <f t="shared" si="108"/>
        <v>530.42100000000005</v>
      </c>
      <c r="P115" s="163"/>
      <c r="Q115" s="164"/>
      <c r="R115" s="163"/>
      <c r="S115" s="163">
        <f t="shared" si="109"/>
        <v>0</v>
      </c>
      <c r="T115" s="163"/>
      <c r="U115" s="164"/>
      <c r="V115" s="163"/>
      <c r="W115" s="163">
        <f t="shared" si="110"/>
        <v>0</v>
      </c>
      <c r="X115" s="163"/>
      <c r="Y115" s="164"/>
      <c r="Z115" s="163"/>
      <c r="AA115" s="163">
        <f t="shared" si="111"/>
        <v>0</v>
      </c>
    </row>
    <row r="116" spans="1:27">
      <c r="A116" s="35"/>
      <c r="B116" s="27"/>
      <c r="C116" s="169" t="s">
        <v>888</v>
      </c>
      <c r="D116" s="164" t="s">
        <v>69</v>
      </c>
      <c r="E116" s="29">
        <f t="shared" si="105"/>
        <v>1</v>
      </c>
      <c r="F116" s="32">
        <v>214.88800000000001</v>
      </c>
      <c r="G116" s="32">
        <f t="shared" si="106"/>
        <v>214.88800000000001</v>
      </c>
      <c r="H116" s="68"/>
      <c r="I116" s="161"/>
      <c r="J116" s="163"/>
      <c r="K116" s="163">
        <f t="shared" si="107"/>
        <v>0</v>
      </c>
      <c r="L116" s="163"/>
      <c r="M116" s="164">
        <v>1</v>
      </c>
      <c r="N116" s="32">
        <v>214.88800000000001</v>
      </c>
      <c r="O116" s="163">
        <f t="shared" si="108"/>
        <v>214.88800000000001</v>
      </c>
      <c r="P116" s="163"/>
      <c r="Q116" s="164"/>
      <c r="R116" s="163"/>
      <c r="S116" s="163">
        <f t="shared" si="109"/>
        <v>0</v>
      </c>
      <c r="T116" s="163"/>
      <c r="U116" s="164"/>
      <c r="V116" s="163"/>
      <c r="W116" s="163">
        <f t="shared" si="110"/>
        <v>0</v>
      </c>
      <c r="X116" s="163"/>
      <c r="Y116" s="164"/>
      <c r="Z116" s="163"/>
      <c r="AA116" s="163">
        <f t="shared" si="111"/>
        <v>0</v>
      </c>
    </row>
    <row r="117" spans="1:27">
      <c r="A117" s="35"/>
      <c r="B117" s="27"/>
      <c r="C117" s="169" t="s">
        <v>889</v>
      </c>
      <c r="D117" s="164" t="s">
        <v>69</v>
      </c>
      <c r="E117" s="29">
        <f t="shared" si="105"/>
        <v>1</v>
      </c>
      <c r="F117" s="32">
        <v>832.35299999999995</v>
      </c>
      <c r="G117" s="32">
        <f t="shared" si="106"/>
        <v>832.35299999999995</v>
      </c>
      <c r="H117" s="68"/>
      <c r="I117" s="161"/>
      <c r="J117" s="163"/>
      <c r="K117" s="163">
        <f t="shared" si="107"/>
        <v>0</v>
      </c>
      <c r="L117" s="163"/>
      <c r="M117" s="164">
        <v>1</v>
      </c>
      <c r="N117" s="32">
        <v>832.35299999999995</v>
      </c>
      <c r="O117" s="163">
        <f t="shared" si="108"/>
        <v>832.35299999999995</v>
      </c>
      <c r="P117" s="163"/>
      <c r="Q117" s="164"/>
      <c r="R117" s="163"/>
      <c r="S117" s="163">
        <f t="shared" si="109"/>
        <v>0</v>
      </c>
      <c r="T117" s="163"/>
      <c r="U117" s="164"/>
      <c r="V117" s="163"/>
      <c r="W117" s="163">
        <f t="shared" si="110"/>
        <v>0</v>
      </c>
      <c r="X117" s="163"/>
      <c r="Y117" s="164"/>
      <c r="Z117" s="163"/>
      <c r="AA117" s="163">
        <f t="shared" si="111"/>
        <v>0</v>
      </c>
    </row>
    <row r="118" spans="1:27">
      <c r="A118" s="35"/>
      <c r="B118" s="27"/>
      <c r="C118" s="169" t="s">
        <v>890</v>
      </c>
      <c r="D118" s="164" t="s">
        <v>69</v>
      </c>
      <c r="E118" s="29">
        <f t="shared" si="105"/>
        <v>1</v>
      </c>
      <c r="F118" s="32">
        <v>731.70899999999995</v>
      </c>
      <c r="G118" s="32">
        <f t="shared" si="106"/>
        <v>731.70899999999995</v>
      </c>
      <c r="H118" s="68"/>
      <c r="I118" s="161"/>
      <c r="J118" s="163"/>
      <c r="K118" s="163">
        <f t="shared" si="107"/>
        <v>0</v>
      </c>
      <c r="L118" s="163"/>
      <c r="M118" s="164">
        <v>1</v>
      </c>
      <c r="N118" s="32">
        <v>731.70899999999995</v>
      </c>
      <c r="O118" s="163">
        <f t="shared" si="108"/>
        <v>731.70899999999995</v>
      </c>
      <c r="P118" s="163"/>
      <c r="Q118" s="164"/>
      <c r="R118" s="163"/>
      <c r="S118" s="163">
        <f t="shared" si="109"/>
        <v>0</v>
      </c>
      <c r="T118" s="163"/>
      <c r="U118" s="164"/>
      <c r="V118" s="163"/>
      <c r="W118" s="163">
        <f t="shared" si="110"/>
        <v>0</v>
      </c>
      <c r="X118" s="163"/>
      <c r="Y118" s="164"/>
      <c r="Z118" s="163"/>
      <c r="AA118" s="163">
        <f t="shared" si="111"/>
        <v>0</v>
      </c>
    </row>
    <row r="119" spans="1:27">
      <c r="A119" s="35"/>
      <c r="B119" s="27"/>
      <c r="C119" s="169" t="s">
        <v>282</v>
      </c>
      <c r="D119" s="164" t="s">
        <v>69</v>
      </c>
      <c r="E119" s="29">
        <f t="shared" si="105"/>
        <v>1</v>
      </c>
      <c r="F119" s="32">
        <v>832.35299999999995</v>
      </c>
      <c r="G119" s="32">
        <f t="shared" si="106"/>
        <v>832.35299999999995</v>
      </c>
      <c r="H119" s="68"/>
      <c r="I119" s="161">
        <v>1</v>
      </c>
      <c r="J119" s="32">
        <v>832.35299999999995</v>
      </c>
      <c r="K119" s="163">
        <f t="shared" si="107"/>
        <v>832.35299999999995</v>
      </c>
      <c r="L119" s="163"/>
      <c r="M119" s="164"/>
      <c r="N119" s="163"/>
      <c r="O119" s="163">
        <f t="shared" si="108"/>
        <v>0</v>
      </c>
      <c r="P119" s="163"/>
      <c r="Q119" s="164"/>
      <c r="R119" s="163"/>
      <c r="S119" s="163">
        <f t="shared" si="109"/>
        <v>0</v>
      </c>
      <c r="T119" s="163"/>
      <c r="U119" s="164"/>
      <c r="V119" s="163"/>
      <c r="W119" s="163">
        <f t="shared" si="110"/>
        <v>0</v>
      </c>
      <c r="X119" s="163"/>
      <c r="Y119" s="164"/>
      <c r="Z119" s="163"/>
      <c r="AA119" s="163">
        <f t="shared" si="111"/>
        <v>0</v>
      </c>
    </row>
    <row r="120" spans="1:27">
      <c r="A120" s="35"/>
      <c r="B120" s="27"/>
      <c r="C120" s="169"/>
      <c r="D120" s="164"/>
      <c r="E120" s="29"/>
      <c r="F120" s="33"/>
      <c r="G120" s="32"/>
      <c r="H120" s="68"/>
      <c r="I120" s="161"/>
      <c r="J120" s="163"/>
      <c r="K120" s="163"/>
      <c r="L120" s="163"/>
      <c r="M120" s="164"/>
      <c r="N120" s="163"/>
      <c r="O120" s="163"/>
      <c r="P120" s="163"/>
      <c r="Q120" s="164"/>
      <c r="R120" s="163"/>
      <c r="S120" s="163"/>
      <c r="T120" s="163"/>
      <c r="U120" s="164"/>
      <c r="V120" s="163"/>
      <c r="W120" s="163"/>
      <c r="X120" s="163"/>
      <c r="Y120" s="164"/>
      <c r="Z120" s="163"/>
      <c r="AA120" s="163"/>
    </row>
    <row r="121" spans="1:27">
      <c r="A121" s="35"/>
      <c r="B121" s="27"/>
      <c r="C121" s="167" t="s">
        <v>699</v>
      </c>
      <c r="D121" s="164"/>
      <c r="E121" s="37"/>
      <c r="F121" s="33"/>
      <c r="G121" s="34"/>
      <c r="H121" s="68"/>
      <c r="I121" s="161"/>
      <c r="J121" s="163"/>
      <c r="K121" s="163"/>
      <c r="L121" s="163"/>
      <c r="M121" s="164"/>
      <c r="N121" s="163"/>
      <c r="O121" s="163"/>
      <c r="P121" s="163"/>
      <c r="Q121" s="164"/>
      <c r="R121" s="163"/>
      <c r="S121" s="163"/>
      <c r="T121" s="163"/>
      <c r="U121" s="164"/>
      <c r="V121" s="163"/>
      <c r="W121" s="163"/>
      <c r="X121" s="163"/>
      <c r="Y121" s="164"/>
      <c r="Z121" s="163"/>
      <c r="AA121" s="163"/>
    </row>
    <row r="122" spans="1:27">
      <c r="A122" s="35"/>
      <c r="B122" s="27"/>
      <c r="C122" s="169" t="s">
        <v>277</v>
      </c>
      <c r="D122" s="164" t="s">
        <v>69</v>
      </c>
      <c r="E122" s="29">
        <f t="shared" ref="E122:E128" si="112">I122+M122+Q122+U122+Y122</f>
        <v>1</v>
      </c>
      <c r="F122" s="32">
        <v>8092.55</v>
      </c>
      <c r="G122" s="32">
        <f t="shared" ref="G122:G129" si="113">K122+O122+S122+W122+AA122</f>
        <v>8092.55</v>
      </c>
      <c r="H122" s="68"/>
      <c r="I122" s="161"/>
      <c r="J122" s="163"/>
      <c r="K122" s="163">
        <f t="shared" ref="K122:K128" si="114">J122*I122</f>
        <v>0</v>
      </c>
      <c r="L122" s="163"/>
      <c r="M122" s="164">
        <v>1</v>
      </c>
      <c r="N122" s="32">
        <v>8092.55</v>
      </c>
      <c r="O122" s="163">
        <f t="shared" ref="O122:O128" si="115">N122*M122</f>
        <v>8092.55</v>
      </c>
      <c r="P122" s="163"/>
      <c r="Q122" s="164"/>
      <c r="R122" s="163"/>
      <c r="S122" s="163">
        <f t="shared" ref="S122:S128" si="116">R122*Q122</f>
        <v>0</v>
      </c>
      <c r="T122" s="163"/>
      <c r="U122" s="164"/>
      <c r="V122" s="163"/>
      <c r="W122" s="163">
        <f t="shared" ref="W122:W128" si="117">V122*U122</f>
        <v>0</v>
      </c>
      <c r="X122" s="163"/>
      <c r="Y122" s="164"/>
      <c r="Z122" s="163"/>
      <c r="AA122" s="163">
        <f t="shared" ref="AA122:AA129" si="118">Z122*Y122</f>
        <v>0</v>
      </c>
    </row>
    <row r="123" spans="1:27">
      <c r="A123" s="35"/>
      <c r="B123" s="27"/>
      <c r="C123" s="169" t="s">
        <v>700</v>
      </c>
      <c r="D123" s="164" t="s">
        <v>69</v>
      </c>
      <c r="E123" s="29">
        <f t="shared" si="112"/>
        <v>1</v>
      </c>
      <c r="F123" s="32">
        <v>20153.900000000001</v>
      </c>
      <c r="G123" s="32">
        <f t="shared" si="113"/>
        <v>20153.900000000001</v>
      </c>
      <c r="H123" s="68"/>
      <c r="I123" s="161"/>
      <c r="J123" s="163"/>
      <c r="K123" s="163"/>
      <c r="L123" s="163"/>
      <c r="M123" s="164">
        <v>1</v>
      </c>
      <c r="N123" s="32">
        <v>20153.900000000001</v>
      </c>
      <c r="O123" s="163">
        <f t="shared" si="115"/>
        <v>20153.900000000001</v>
      </c>
      <c r="P123" s="163"/>
      <c r="Q123" s="164"/>
      <c r="R123" s="163"/>
      <c r="S123" s="163">
        <f t="shared" si="116"/>
        <v>0</v>
      </c>
      <c r="T123" s="163"/>
      <c r="U123" s="164"/>
      <c r="V123" s="163"/>
      <c r="W123" s="163">
        <f t="shared" si="117"/>
        <v>0</v>
      </c>
      <c r="X123" s="163"/>
      <c r="Y123" s="164"/>
      <c r="Z123" s="163"/>
      <c r="AA123" s="163">
        <f t="shared" si="118"/>
        <v>0</v>
      </c>
    </row>
    <row r="124" spans="1:27">
      <c r="A124" s="35"/>
      <c r="B124" s="27"/>
      <c r="C124" s="169" t="s">
        <v>701</v>
      </c>
      <c r="D124" s="164" t="s">
        <v>69</v>
      </c>
      <c r="E124" s="29">
        <f t="shared" si="112"/>
        <v>1</v>
      </c>
      <c r="F124" s="32">
        <v>2498.91</v>
      </c>
      <c r="G124" s="32">
        <f t="shared" si="113"/>
        <v>2498.91</v>
      </c>
      <c r="H124" s="68"/>
      <c r="I124" s="161"/>
      <c r="J124" s="163"/>
      <c r="K124" s="163"/>
      <c r="L124" s="163"/>
      <c r="M124" s="164">
        <v>1</v>
      </c>
      <c r="N124" s="32">
        <v>2498.91</v>
      </c>
      <c r="O124" s="163">
        <f t="shared" si="115"/>
        <v>2498.91</v>
      </c>
      <c r="P124" s="163"/>
      <c r="Q124" s="164"/>
      <c r="R124" s="163"/>
      <c r="S124" s="163">
        <f t="shared" si="116"/>
        <v>0</v>
      </c>
      <c r="T124" s="163"/>
      <c r="U124" s="164"/>
      <c r="V124" s="163"/>
      <c r="W124" s="163">
        <f t="shared" si="117"/>
        <v>0</v>
      </c>
      <c r="X124" s="163"/>
      <c r="Y124" s="164"/>
      <c r="Z124" s="163"/>
      <c r="AA124" s="163">
        <f t="shared" si="118"/>
        <v>0</v>
      </c>
    </row>
    <row r="125" spans="1:27">
      <c r="A125" s="35"/>
      <c r="B125" s="27"/>
      <c r="C125" s="169" t="s">
        <v>702</v>
      </c>
      <c r="D125" s="164" t="s">
        <v>69</v>
      </c>
      <c r="E125" s="29">
        <f t="shared" si="112"/>
        <v>1</v>
      </c>
      <c r="F125" s="32">
        <v>26579.3</v>
      </c>
      <c r="G125" s="32">
        <f t="shared" si="113"/>
        <v>26579.3</v>
      </c>
      <c r="H125" s="68"/>
      <c r="I125" s="161"/>
      <c r="J125" s="163"/>
      <c r="K125" s="163"/>
      <c r="L125" s="163"/>
      <c r="M125" s="164"/>
      <c r="N125" s="163"/>
      <c r="O125" s="163">
        <f t="shared" si="115"/>
        <v>0</v>
      </c>
      <c r="P125" s="163"/>
      <c r="Q125" s="164"/>
      <c r="R125" s="163"/>
      <c r="S125" s="163">
        <f t="shared" si="116"/>
        <v>0</v>
      </c>
      <c r="T125" s="163"/>
      <c r="U125" s="164">
        <v>1</v>
      </c>
      <c r="V125" s="32">
        <v>26579.3</v>
      </c>
      <c r="W125" s="163">
        <f t="shared" si="117"/>
        <v>26579.3</v>
      </c>
      <c r="X125" s="163"/>
      <c r="Y125" s="164"/>
      <c r="Z125" s="163"/>
      <c r="AA125" s="163">
        <f t="shared" si="118"/>
        <v>0</v>
      </c>
    </row>
    <row r="126" spans="1:27">
      <c r="A126" s="35"/>
      <c r="B126" s="27"/>
      <c r="C126" s="169" t="s">
        <v>941</v>
      </c>
      <c r="D126" s="164" t="s">
        <v>69</v>
      </c>
      <c r="E126" s="372">
        <v>1</v>
      </c>
      <c r="F126" s="32">
        <v>19440.400000000001</v>
      </c>
      <c r="G126" s="32">
        <f t="shared" si="113"/>
        <v>19440.400000000001</v>
      </c>
      <c r="H126" s="68"/>
      <c r="I126" s="161"/>
      <c r="J126" s="163"/>
      <c r="K126" s="163"/>
      <c r="L126" s="163"/>
      <c r="M126" s="164"/>
      <c r="N126" s="163"/>
      <c r="O126" s="163">
        <f t="shared" si="115"/>
        <v>0</v>
      </c>
      <c r="P126" s="163"/>
      <c r="Q126" s="371">
        <v>1</v>
      </c>
      <c r="R126" s="32">
        <v>19440.400000000001</v>
      </c>
      <c r="S126" s="163">
        <f t="shared" si="116"/>
        <v>19440.400000000001</v>
      </c>
      <c r="T126" s="163"/>
      <c r="U126" s="164"/>
      <c r="V126" s="163"/>
      <c r="W126" s="163">
        <f t="shared" si="117"/>
        <v>0</v>
      </c>
      <c r="X126" s="163"/>
      <c r="Y126" s="164"/>
      <c r="Z126" s="163"/>
      <c r="AA126" s="163">
        <f t="shared" si="118"/>
        <v>0</v>
      </c>
    </row>
    <row r="127" spans="1:27">
      <c r="A127" s="35"/>
      <c r="B127" s="27"/>
      <c r="C127" s="169" t="s">
        <v>703</v>
      </c>
      <c r="D127" s="164" t="s">
        <v>69</v>
      </c>
      <c r="E127" s="29">
        <f t="shared" si="112"/>
        <v>1</v>
      </c>
      <c r="F127" s="32">
        <v>32651.919999999998</v>
      </c>
      <c r="G127" s="32">
        <f t="shared" si="113"/>
        <v>32651.919999999998</v>
      </c>
      <c r="H127" s="68"/>
      <c r="I127" s="161"/>
      <c r="J127" s="163"/>
      <c r="K127" s="163"/>
      <c r="L127" s="163"/>
      <c r="M127" s="164"/>
      <c r="N127" s="163"/>
      <c r="O127" s="163">
        <f t="shared" si="115"/>
        <v>0</v>
      </c>
      <c r="P127" s="163"/>
      <c r="Q127" s="164"/>
      <c r="R127" s="163"/>
      <c r="S127" s="163">
        <f t="shared" si="116"/>
        <v>0</v>
      </c>
      <c r="T127" s="163"/>
      <c r="U127" s="164">
        <v>1</v>
      </c>
      <c r="V127" s="32">
        <v>32651.919999999998</v>
      </c>
      <c r="W127" s="163">
        <f t="shared" si="117"/>
        <v>32651.919999999998</v>
      </c>
      <c r="X127" s="163"/>
      <c r="Y127" s="164"/>
      <c r="Z127" s="163"/>
      <c r="AA127" s="163">
        <f t="shared" si="118"/>
        <v>0</v>
      </c>
    </row>
    <row r="128" spans="1:27">
      <c r="A128" s="35"/>
      <c r="B128" s="27"/>
      <c r="C128" s="169" t="s">
        <v>276</v>
      </c>
      <c r="D128" s="164" t="s">
        <v>69</v>
      </c>
      <c r="E128" s="29">
        <f t="shared" si="112"/>
        <v>1</v>
      </c>
      <c r="F128" s="32">
        <v>11460.95</v>
      </c>
      <c r="G128" s="32">
        <f t="shared" si="113"/>
        <v>11460.95</v>
      </c>
      <c r="H128" s="68"/>
      <c r="I128" s="161"/>
      <c r="J128" s="163"/>
      <c r="K128" s="163">
        <f t="shared" si="114"/>
        <v>0</v>
      </c>
      <c r="L128" s="163"/>
      <c r="M128" s="164"/>
      <c r="N128" s="163"/>
      <c r="O128" s="163">
        <f t="shared" si="115"/>
        <v>0</v>
      </c>
      <c r="P128" s="163"/>
      <c r="Q128" s="164"/>
      <c r="R128" s="163"/>
      <c r="S128" s="163">
        <f t="shared" si="116"/>
        <v>0</v>
      </c>
      <c r="T128" s="163"/>
      <c r="U128" s="164">
        <v>1</v>
      </c>
      <c r="V128" s="32">
        <v>11460.95</v>
      </c>
      <c r="W128" s="163">
        <f t="shared" si="117"/>
        <v>11460.95</v>
      </c>
      <c r="X128" s="163"/>
      <c r="Y128" s="164"/>
      <c r="Z128" s="163"/>
      <c r="AA128" s="163">
        <f t="shared" si="118"/>
        <v>0</v>
      </c>
    </row>
    <row r="129" spans="1:27" ht="27.6">
      <c r="A129" s="35"/>
      <c r="B129" s="27"/>
      <c r="C129" s="387" t="s">
        <v>942</v>
      </c>
      <c r="D129" s="164" t="s">
        <v>69</v>
      </c>
      <c r="E129" s="37">
        <v>1</v>
      </c>
      <c r="F129" s="32">
        <v>6556.54</v>
      </c>
      <c r="G129" s="32">
        <f t="shared" si="113"/>
        <v>6556.54</v>
      </c>
      <c r="H129" s="68"/>
      <c r="I129" s="161"/>
      <c r="J129" s="163"/>
      <c r="K129" s="163"/>
      <c r="L129" s="163"/>
      <c r="M129" s="164"/>
      <c r="N129" s="163"/>
      <c r="O129" s="163"/>
      <c r="P129" s="163"/>
      <c r="Q129" s="164"/>
      <c r="R129" s="163"/>
      <c r="S129" s="163"/>
      <c r="T129" s="163"/>
      <c r="U129" s="164"/>
      <c r="V129" s="163"/>
      <c r="W129" s="163"/>
      <c r="X129" s="163"/>
      <c r="Y129" s="164">
        <v>1</v>
      </c>
      <c r="Z129" s="32">
        <v>6556.54</v>
      </c>
      <c r="AA129" s="163">
        <f t="shared" si="118"/>
        <v>6556.54</v>
      </c>
    </row>
    <row r="130" spans="1:27" ht="36.6" customHeight="1">
      <c r="A130" s="35"/>
      <c r="B130" s="27"/>
      <c r="C130" s="172" t="s">
        <v>313</v>
      </c>
      <c r="D130" s="164"/>
      <c r="E130" s="29"/>
      <c r="F130" s="33" t="s">
        <v>10</v>
      </c>
      <c r="G130" s="182">
        <f>K130+O130+S130+W130+AA130</f>
        <v>193034.05499999999</v>
      </c>
      <c r="H130" s="68"/>
      <c r="I130" s="161"/>
      <c r="J130" s="33" t="s">
        <v>10</v>
      </c>
      <c r="K130" s="34">
        <f>SUM(K66:K129)</f>
        <v>50391.884999999995</v>
      </c>
      <c r="L130" s="163"/>
      <c r="M130" s="164"/>
      <c r="N130" s="163"/>
      <c r="O130" s="34">
        <f>SUM(O66:O129)</f>
        <v>44843.258000000002</v>
      </c>
      <c r="P130" s="163"/>
      <c r="Q130" s="164"/>
      <c r="R130" s="163"/>
      <c r="S130" s="34">
        <f>SUM(S66:S129)</f>
        <v>19810.334000000003</v>
      </c>
      <c r="T130" s="163"/>
      <c r="U130" s="164"/>
      <c r="V130" s="163"/>
      <c r="W130" s="34">
        <f>SUM(W66:W129)</f>
        <v>71062.103999999992</v>
      </c>
      <c r="X130" s="163"/>
      <c r="Y130" s="164"/>
      <c r="Z130" s="163"/>
      <c r="AA130" s="34">
        <f>SUM(AA66:AA129)</f>
        <v>6926.4740000000002</v>
      </c>
    </row>
    <row r="131" spans="1:27">
      <c r="A131" s="35"/>
      <c r="B131" s="27"/>
      <c r="C131" s="169"/>
      <c r="D131" s="164"/>
      <c r="E131" s="37"/>
      <c r="F131" s="33"/>
      <c r="G131" s="34"/>
      <c r="H131" s="68"/>
      <c r="I131" s="161"/>
      <c r="J131" s="163"/>
      <c r="K131" s="163"/>
      <c r="L131" s="163"/>
      <c r="M131" s="164"/>
      <c r="N131" s="163"/>
      <c r="O131" s="163"/>
      <c r="P131" s="163"/>
      <c r="Q131" s="164"/>
      <c r="R131" s="163"/>
      <c r="S131" s="163"/>
      <c r="T131" s="163"/>
      <c r="U131" s="164"/>
      <c r="V131" s="163"/>
      <c r="W131" s="163"/>
      <c r="X131" s="163"/>
      <c r="Y131" s="164"/>
      <c r="Z131" s="163"/>
      <c r="AA131" s="163"/>
    </row>
    <row r="132" spans="1:27">
      <c r="A132" s="35"/>
      <c r="B132" s="27"/>
      <c r="C132" s="336"/>
      <c r="D132" s="164"/>
      <c r="E132" s="37"/>
      <c r="F132" s="33"/>
      <c r="G132" s="34"/>
      <c r="H132" s="68"/>
      <c r="I132" s="161"/>
      <c r="J132" s="163"/>
      <c r="K132" s="163"/>
      <c r="L132" s="163"/>
      <c r="M132" s="164"/>
      <c r="N132" s="163"/>
      <c r="O132" s="163"/>
      <c r="P132" s="163"/>
      <c r="Q132" s="164"/>
      <c r="R132" s="163"/>
      <c r="S132" s="163"/>
      <c r="T132" s="163"/>
      <c r="U132" s="164"/>
      <c r="V132" s="163"/>
      <c r="W132" s="163"/>
      <c r="X132" s="163"/>
      <c r="Y132" s="164"/>
      <c r="Z132" s="163"/>
      <c r="AA132" s="163"/>
    </row>
    <row r="133" spans="1:27">
      <c r="A133" s="35"/>
      <c r="B133" s="62" t="s">
        <v>83</v>
      </c>
      <c r="C133" s="62" t="s">
        <v>318</v>
      </c>
      <c r="D133" s="181"/>
      <c r="E133" s="174"/>
      <c r="F133" s="175"/>
      <c r="G133" s="176"/>
      <c r="H133" s="176"/>
      <c r="I133" s="177"/>
      <c r="J133" s="178"/>
      <c r="K133" s="180"/>
      <c r="L133" s="180"/>
      <c r="M133" s="180"/>
      <c r="N133" s="179"/>
      <c r="O133" s="180"/>
      <c r="P133" s="180"/>
      <c r="Q133" s="180"/>
      <c r="R133" s="179"/>
      <c r="S133" s="180"/>
      <c r="T133" s="180"/>
      <c r="U133" s="180"/>
      <c r="V133" s="179"/>
      <c r="W133" s="180"/>
      <c r="X133" s="180"/>
      <c r="Y133" s="180"/>
      <c r="Z133" s="179"/>
      <c r="AA133" s="180"/>
    </row>
    <row r="134" spans="1:27">
      <c r="A134" s="35"/>
      <c r="B134" s="27"/>
      <c r="C134" s="172" t="s">
        <v>283</v>
      </c>
      <c r="D134" s="164"/>
      <c r="E134" s="37"/>
      <c r="F134" s="33"/>
      <c r="G134" s="34"/>
      <c r="H134" s="68"/>
      <c r="I134" s="161"/>
      <c r="J134" s="163"/>
      <c r="K134" s="163"/>
      <c r="L134" s="163"/>
      <c r="M134" s="164"/>
      <c r="N134" s="163"/>
      <c r="O134" s="163"/>
      <c r="P134" s="163"/>
      <c r="Q134" s="164"/>
      <c r="R134" s="163"/>
      <c r="S134" s="163"/>
      <c r="T134" s="163"/>
      <c r="U134" s="164"/>
      <c r="V134" s="163"/>
      <c r="W134" s="163"/>
      <c r="X134" s="163"/>
      <c r="Y134" s="164"/>
      <c r="Z134" s="163"/>
      <c r="AA134" s="163"/>
    </row>
    <row r="135" spans="1:27">
      <c r="A135" s="35"/>
      <c r="B135" s="27"/>
      <c r="C135" s="168" t="s">
        <v>862</v>
      </c>
      <c r="D135" s="164" t="s">
        <v>69</v>
      </c>
      <c r="E135" s="29">
        <f t="shared" ref="E135:E140" si="119">I135+M135+Q135+U135+Y135</f>
        <v>2</v>
      </c>
      <c r="F135" s="32">
        <v>69.757000000000005</v>
      </c>
      <c r="G135" s="32">
        <f t="shared" ref="G135:G140" si="120">K135+O135+S135+W135+AA135</f>
        <v>139.51400000000001</v>
      </c>
      <c r="H135" s="68"/>
      <c r="I135" s="161"/>
      <c r="J135" s="163"/>
      <c r="K135" s="163">
        <f t="shared" ref="K135:K140" si="121">J135*I135</f>
        <v>0</v>
      </c>
      <c r="L135" s="163"/>
      <c r="M135" s="164"/>
      <c r="N135" s="163"/>
      <c r="O135" s="163">
        <f t="shared" ref="O135:O140" si="122">N135*M135</f>
        <v>0</v>
      </c>
      <c r="P135" s="163"/>
      <c r="Q135" s="164"/>
      <c r="R135" s="163"/>
      <c r="S135" s="163">
        <f t="shared" ref="S135:S140" si="123">R135*Q135</f>
        <v>0</v>
      </c>
      <c r="T135" s="163"/>
      <c r="U135" s="164">
        <v>2</v>
      </c>
      <c r="V135" s="163">
        <v>69.757000000000005</v>
      </c>
      <c r="W135" s="163">
        <f t="shared" ref="W135:W140" si="124">V135*U135</f>
        <v>139.51400000000001</v>
      </c>
      <c r="X135" s="163"/>
      <c r="Y135" s="164"/>
      <c r="Z135" s="163"/>
      <c r="AA135" s="163">
        <f t="shared" ref="AA135:AA140" si="125">Z135*Y135</f>
        <v>0</v>
      </c>
    </row>
    <row r="136" spans="1:27">
      <c r="A136" s="35"/>
      <c r="B136" s="27"/>
      <c r="C136" s="168" t="s">
        <v>284</v>
      </c>
      <c r="D136" s="164" t="s">
        <v>69</v>
      </c>
      <c r="E136" s="29">
        <f t="shared" si="119"/>
        <v>52</v>
      </c>
      <c r="F136" s="32">
        <v>65.986999999999995</v>
      </c>
      <c r="G136" s="32">
        <f t="shared" si="120"/>
        <v>3431.3239999999996</v>
      </c>
      <c r="H136" s="68"/>
      <c r="I136" s="161">
        <v>18</v>
      </c>
      <c r="J136" s="32">
        <v>65.986999999999995</v>
      </c>
      <c r="K136" s="163">
        <f t="shared" si="121"/>
        <v>1187.7659999999998</v>
      </c>
      <c r="L136" s="163"/>
      <c r="M136" s="164"/>
      <c r="N136" s="163"/>
      <c r="O136" s="163">
        <f t="shared" si="122"/>
        <v>0</v>
      </c>
      <c r="P136" s="163"/>
      <c r="Q136" s="164">
        <f>3+6</f>
        <v>9</v>
      </c>
      <c r="R136" s="32">
        <v>65.986999999999995</v>
      </c>
      <c r="S136" s="163">
        <f t="shared" si="123"/>
        <v>593.88299999999992</v>
      </c>
      <c r="T136" s="163"/>
      <c r="U136" s="164">
        <v>24</v>
      </c>
      <c r="V136" s="32">
        <v>65.986999999999995</v>
      </c>
      <c r="W136" s="163">
        <f t="shared" si="124"/>
        <v>1583.6879999999999</v>
      </c>
      <c r="X136" s="163"/>
      <c r="Y136" s="164">
        <v>1</v>
      </c>
      <c r="Z136" s="32">
        <v>65.986999999999995</v>
      </c>
      <c r="AA136" s="163">
        <f t="shared" si="125"/>
        <v>65.986999999999995</v>
      </c>
    </row>
    <row r="137" spans="1:27">
      <c r="A137" s="35"/>
      <c r="B137" s="27"/>
      <c r="C137" s="168" t="s">
        <v>863</v>
      </c>
      <c r="D137" s="164" t="s">
        <v>69</v>
      </c>
      <c r="E137" s="29">
        <f t="shared" si="119"/>
        <v>3</v>
      </c>
      <c r="F137" s="32">
        <v>105.768</v>
      </c>
      <c r="G137" s="32">
        <f t="shared" si="120"/>
        <v>317.30399999999997</v>
      </c>
      <c r="H137" s="68"/>
      <c r="I137" s="161"/>
      <c r="J137" s="163"/>
      <c r="K137" s="163">
        <f t="shared" si="121"/>
        <v>0</v>
      </c>
      <c r="L137" s="163"/>
      <c r="M137" s="164"/>
      <c r="N137" s="163"/>
      <c r="O137" s="163">
        <f t="shared" si="122"/>
        <v>0</v>
      </c>
      <c r="P137" s="163"/>
      <c r="Q137" s="164"/>
      <c r="R137" s="163"/>
      <c r="S137" s="163">
        <f t="shared" si="123"/>
        <v>0</v>
      </c>
      <c r="T137" s="163"/>
      <c r="U137" s="164"/>
      <c r="V137" s="163"/>
      <c r="W137" s="163">
        <f t="shared" si="124"/>
        <v>0</v>
      </c>
      <c r="X137" s="163"/>
      <c r="Y137" s="164">
        <v>3</v>
      </c>
      <c r="Z137" s="32">
        <v>105.768</v>
      </c>
      <c r="AA137" s="163">
        <f t="shared" si="125"/>
        <v>317.30399999999997</v>
      </c>
    </row>
    <row r="138" spans="1:27">
      <c r="A138" s="35"/>
      <c r="B138" s="27"/>
      <c r="C138" s="168" t="s">
        <v>864</v>
      </c>
      <c r="D138" s="164" t="s">
        <v>69</v>
      </c>
      <c r="E138" s="29">
        <f t="shared" si="119"/>
        <v>1</v>
      </c>
      <c r="F138" s="32">
        <v>61.883000000000003</v>
      </c>
      <c r="G138" s="32">
        <f t="shared" si="120"/>
        <v>61.883000000000003</v>
      </c>
      <c r="H138" s="68"/>
      <c r="I138" s="161"/>
      <c r="J138" s="163"/>
      <c r="K138" s="163">
        <f t="shared" si="121"/>
        <v>0</v>
      </c>
      <c r="L138" s="163"/>
      <c r="M138" s="164"/>
      <c r="N138" s="163"/>
      <c r="O138" s="163">
        <f t="shared" si="122"/>
        <v>0</v>
      </c>
      <c r="P138" s="163"/>
      <c r="Q138" s="164"/>
      <c r="R138" s="163"/>
      <c r="S138" s="163">
        <f t="shared" si="123"/>
        <v>0</v>
      </c>
      <c r="T138" s="163"/>
      <c r="U138" s="164">
        <v>1</v>
      </c>
      <c r="V138" s="32">
        <v>61.883000000000003</v>
      </c>
      <c r="W138" s="163">
        <f t="shared" si="124"/>
        <v>61.883000000000003</v>
      </c>
      <c r="X138" s="163"/>
      <c r="Y138" s="164"/>
      <c r="Z138" s="163"/>
      <c r="AA138" s="163">
        <f t="shared" si="125"/>
        <v>0</v>
      </c>
    </row>
    <row r="139" spans="1:27">
      <c r="A139" s="35"/>
      <c r="B139" s="27"/>
      <c r="C139" s="168" t="s">
        <v>285</v>
      </c>
      <c r="D139" s="164" t="s">
        <v>69</v>
      </c>
      <c r="E139" s="29">
        <f t="shared" si="119"/>
        <v>14</v>
      </c>
      <c r="F139" s="32">
        <v>69.316000000000003</v>
      </c>
      <c r="G139" s="32">
        <f t="shared" si="120"/>
        <v>970.42400000000009</v>
      </c>
      <c r="H139" s="68"/>
      <c r="I139" s="161">
        <v>5</v>
      </c>
      <c r="J139" s="32">
        <v>69.316000000000003</v>
      </c>
      <c r="K139" s="163">
        <f t="shared" si="121"/>
        <v>346.58000000000004</v>
      </c>
      <c r="L139" s="163"/>
      <c r="M139" s="164"/>
      <c r="N139" s="163"/>
      <c r="O139" s="163">
        <f t="shared" si="122"/>
        <v>0</v>
      </c>
      <c r="P139" s="163"/>
      <c r="Q139" s="164">
        <v>2</v>
      </c>
      <c r="R139" s="32">
        <v>69.316000000000003</v>
      </c>
      <c r="S139" s="163">
        <f t="shared" si="123"/>
        <v>138.63200000000001</v>
      </c>
      <c r="T139" s="163"/>
      <c r="U139" s="164">
        <v>6</v>
      </c>
      <c r="V139" s="32">
        <v>69.316000000000003</v>
      </c>
      <c r="W139" s="163">
        <f t="shared" si="124"/>
        <v>415.89600000000002</v>
      </c>
      <c r="X139" s="163"/>
      <c r="Y139" s="164">
        <v>1</v>
      </c>
      <c r="Z139" s="32">
        <v>69.316000000000003</v>
      </c>
      <c r="AA139" s="163">
        <f t="shared" si="125"/>
        <v>69.316000000000003</v>
      </c>
    </row>
    <row r="140" spans="1:27">
      <c r="A140" s="35"/>
      <c r="B140" s="27"/>
      <c r="C140" s="168" t="s">
        <v>286</v>
      </c>
      <c r="D140" s="164" t="s">
        <v>6</v>
      </c>
      <c r="E140" s="29">
        <f t="shared" si="119"/>
        <v>1</v>
      </c>
      <c r="F140" s="32">
        <v>268.51</v>
      </c>
      <c r="G140" s="32">
        <f t="shared" si="120"/>
        <v>268.51</v>
      </c>
      <c r="H140" s="68"/>
      <c r="I140" s="161"/>
      <c r="J140" s="163"/>
      <c r="K140" s="163">
        <f t="shared" si="121"/>
        <v>0</v>
      </c>
      <c r="L140" s="163"/>
      <c r="M140" s="164">
        <v>1</v>
      </c>
      <c r="N140" s="32">
        <v>268.51</v>
      </c>
      <c r="O140" s="163">
        <f t="shared" si="122"/>
        <v>268.51</v>
      </c>
      <c r="P140" s="163"/>
      <c r="Q140" s="164"/>
      <c r="R140" s="163"/>
      <c r="S140" s="163">
        <f t="shared" si="123"/>
        <v>0</v>
      </c>
      <c r="T140" s="163"/>
      <c r="U140" s="164"/>
      <c r="V140" s="163"/>
      <c r="W140" s="163">
        <f t="shared" si="124"/>
        <v>0</v>
      </c>
      <c r="X140" s="163"/>
      <c r="Y140" s="164"/>
      <c r="Z140" s="163"/>
      <c r="AA140" s="163">
        <f t="shared" si="125"/>
        <v>0</v>
      </c>
    </row>
    <row r="141" spans="1:27">
      <c r="A141" s="35"/>
      <c r="B141" s="27"/>
      <c r="C141" s="168"/>
      <c r="D141" s="164"/>
      <c r="E141" s="37"/>
      <c r="F141" s="33"/>
      <c r="G141" s="34"/>
      <c r="H141" s="68"/>
      <c r="I141" s="161"/>
      <c r="J141" s="163"/>
      <c r="K141" s="163"/>
      <c r="L141" s="163"/>
      <c r="M141" s="164"/>
      <c r="N141" s="163"/>
      <c r="O141" s="163"/>
      <c r="P141" s="163"/>
      <c r="Q141" s="164"/>
      <c r="R141" s="163"/>
      <c r="S141" s="163"/>
      <c r="T141" s="163"/>
      <c r="U141" s="164"/>
      <c r="V141" s="163"/>
      <c r="W141" s="163"/>
      <c r="X141" s="163"/>
      <c r="Y141" s="164"/>
      <c r="Z141" s="163"/>
      <c r="AA141" s="163"/>
    </row>
    <row r="142" spans="1:27">
      <c r="A142" s="35"/>
      <c r="B142" s="346"/>
      <c r="C142" s="191" t="s">
        <v>287</v>
      </c>
      <c r="D142" s="164"/>
      <c r="E142" s="37"/>
      <c r="F142" s="33"/>
      <c r="G142" s="34"/>
      <c r="H142" s="68"/>
      <c r="I142" s="161"/>
      <c r="J142" s="163"/>
      <c r="K142" s="163"/>
      <c r="L142" s="163"/>
      <c r="M142" s="164"/>
      <c r="N142" s="163"/>
      <c r="O142" s="163"/>
      <c r="P142" s="163"/>
      <c r="Q142" s="164"/>
      <c r="R142" s="163"/>
      <c r="S142" s="163"/>
      <c r="T142" s="163"/>
      <c r="U142" s="164"/>
      <c r="V142" s="163"/>
      <c r="W142" s="163"/>
      <c r="X142" s="163"/>
      <c r="Y142" s="164"/>
      <c r="Z142" s="163"/>
      <c r="AA142" s="163"/>
    </row>
    <row r="143" spans="1:27">
      <c r="A143" s="35"/>
      <c r="B143" s="27"/>
      <c r="C143" s="168" t="s">
        <v>943</v>
      </c>
      <c r="D143" s="164" t="s">
        <v>69</v>
      </c>
      <c r="E143" s="29">
        <f t="shared" ref="E143:E146" si="126">I143+M143+Q143+U143+Y143</f>
        <v>31</v>
      </c>
      <c r="F143" s="32">
        <v>190.678</v>
      </c>
      <c r="G143" s="32">
        <f t="shared" ref="G143:G146" si="127">K143+O143+S143+W143+AA143</f>
        <v>5911.018</v>
      </c>
      <c r="H143" s="68"/>
      <c r="I143" s="161">
        <v>9</v>
      </c>
      <c r="J143" s="32">
        <v>190.678</v>
      </c>
      <c r="K143" s="163">
        <f t="shared" ref="K143:K146" si="128">J143*I143</f>
        <v>1716.1019999999999</v>
      </c>
      <c r="L143" s="163"/>
      <c r="M143" s="164">
        <v>7</v>
      </c>
      <c r="N143" s="32">
        <v>190.678</v>
      </c>
      <c r="O143" s="163">
        <f t="shared" ref="O143:O146" si="129">N143*M143</f>
        <v>1334.7460000000001</v>
      </c>
      <c r="P143" s="163"/>
      <c r="Q143" s="164">
        <v>1</v>
      </c>
      <c r="R143" s="32">
        <v>190.678</v>
      </c>
      <c r="S143" s="163">
        <f t="shared" ref="S143:S146" si="130">R143*Q143</f>
        <v>190.678</v>
      </c>
      <c r="T143" s="163"/>
      <c r="U143" s="164">
        <v>11</v>
      </c>
      <c r="V143" s="32">
        <v>190.678</v>
      </c>
      <c r="W143" s="163">
        <f t="shared" ref="W143:W146" si="131">V143*U143</f>
        <v>2097.4580000000001</v>
      </c>
      <c r="X143" s="163"/>
      <c r="Y143" s="164">
        <v>3</v>
      </c>
      <c r="Z143" s="32">
        <v>190.678</v>
      </c>
      <c r="AA143" s="163">
        <f t="shared" ref="AA143:AA146" si="132">Z143*Y143</f>
        <v>572.03399999999999</v>
      </c>
    </row>
    <row r="144" spans="1:27">
      <c r="A144" s="35"/>
      <c r="B144" s="27"/>
      <c r="C144" s="168" t="s">
        <v>944</v>
      </c>
      <c r="D144" s="164" t="s">
        <v>69</v>
      </c>
      <c r="E144" s="29">
        <f t="shared" si="126"/>
        <v>55</v>
      </c>
      <c r="F144" s="32">
        <v>222.62</v>
      </c>
      <c r="G144" s="32">
        <f t="shared" si="127"/>
        <v>12244.1</v>
      </c>
      <c r="H144" s="68"/>
      <c r="I144" s="161">
        <v>16</v>
      </c>
      <c r="J144" s="32">
        <v>222.62</v>
      </c>
      <c r="K144" s="163">
        <f t="shared" si="128"/>
        <v>3561.92</v>
      </c>
      <c r="L144" s="163"/>
      <c r="M144" s="164">
        <v>15</v>
      </c>
      <c r="N144" s="32">
        <v>222.62</v>
      </c>
      <c r="O144" s="163">
        <f t="shared" si="129"/>
        <v>3339.3</v>
      </c>
      <c r="P144" s="163"/>
      <c r="Q144" s="164">
        <v>10</v>
      </c>
      <c r="R144" s="32">
        <v>222.62</v>
      </c>
      <c r="S144" s="163">
        <f t="shared" si="130"/>
        <v>2226.1999999999998</v>
      </c>
      <c r="T144" s="163"/>
      <c r="U144" s="164">
        <v>11</v>
      </c>
      <c r="V144" s="32">
        <v>222.62</v>
      </c>
      <c r="W144" s="163">
        <f t="shared" si="131"/>
        <v>2448.8200000000002</v>
      </c>
      <c r="X144" s="163"/>
      <c r="Y144" s="164">
        <v>3</v>
      </c>
      <c r="Z144" s="32">
        <v>222.62</v>
      </c>
      <c r="AA144" s="163">
        <f t="shared" si="132"/>
        <v>667.86</v>
      </c>
    </row>
    <row r="145" spans="1:27">
      <c r="A145" s="35"/>
      <c r="B145" s="27"/>
      <c r="C145" s="168" t="s">
        <v>945</v>
      </c>
      <c r="D145" s="164" t="s">
        <v>69</v>
      </c>
      <c r="E145" s="29">
        <f t="shared" si="126"/>
        <v>4</v>
      </c>
      <c r="F145" s="32">
        <v>136.15600000000001</v>
      </c>
      <c r="G145" s="32">
        <f t="shared" si="127"/>
        <v>544.62400000000002</v>
      </c>
      <c r="H145" s="68"/>
      <c r="I145" s="161"/>
      <c r="J145" s="163"/>
      <c r="K145" s="163">
        <f t="shared" si="128"/>
        <v>0</v>
      </c>
      <c r="L145" s="163"/>
      <c r="M145" s="164">
        <v>2</v>
      </c>
      <c r="N145" s="32">
        <v>136.15600000000001</v>
      </c>
      <c r="O145" s="163">
        <f t="shared" si="129"/>
        <v>272.31200000000001</v>
      </c>
      <c r="P145" s="163"/>
      <c r="Q145" s="164">
        <v>2</v>
      </c>
      <c r="R145" s="32">
        <v>136.15600000000001</v>
      </c>
      <c r="S145" s="163">
        <f t="shared" si="130"/>
        <v>272.31200000000001</v>
      </c>
      <c r="T145" s="163"/>
      <c r="U145" s="164"/>
      <c r="V145" s="32"/>
      <c r="W145" s="163">
        <f t="shared" si="131"/>
        <v>0</v>
      </c>
      <c r="X145" s="163"/>
      <c r="Y145" s="164"/>
      <c r="Z145" s="163"/>
      <c r="AA145" s="163">
        <f t="shared" si="132"/>
        <v>0</v>
      </c>
    </row>
    <row r="146" spans="1:27">
      <c r="A146" s="35"/>
      <c r="B146" s="27"/>
      <c r="C146" s="168" t="s">
        <v>946</v>
      </c>
      <c r="D146" s="164" t="s">
        <v>69</v>
      </c>
      <c r="E146" s="29">
        <f t="shared" si="126"/>
        <v>46</v>
      </c>
      <c r="F146" s="32">
        <v>174.49299999999999</v>
      </c>
      <c r="G146" s="32">
        <f t="shared" si="127"/>
        <v>8026.6780000000008</v>
      </c>
      <c r="H146" s="68"/>
      <c r="I146" s="161">
        <v>10</v>
      </c>
      <c r="J146" s="32">
        <v>174.49299999999999</v>
      </c>
      <c r="K146" s="163">
        <f t="shared" si="128"/>
        <v>1744.9299999999998</v>
      </c>
      <c r="L146" s="163"/>
      <c r="M146" s="164">
        <v>6</v>
      </c>
      <c r="N146" s="32">
        <v>174.49299999999999</v>
      </c>
      <c r="O146" s="163">
        <f t="shared" si="129"/>
        <v>1046.9580000000001</v>
      </c>
      <c r="P146" s="163"/>
      <c r="Q146" s="164">
        <v>8</v>
      </c>
      <c r="R146" s="32">
        <v>174.49299999999999</v>
      </c>
      <c r="S146" s="163">
        <f t="shared" si="130"/>
        <v>1395.944</v>
      </c>
      <c r="T146" s="163"/>
      <c r="U146" s="164">
        <v>19</v>
      </c>
      <c r="V146" s="32">
        <v>174.49299999999999</v>
      </c>
      <c r="W146" s="163">
        <f t="shared" si="131"/>
        <v>3315.3669999999997</v>
      </c>
      <c r="X146" s="163"/>
      <c r="Y146" s="164">
        <v>3</v>
      </c>
      <c r="Z146" s="32">
        <v>174.49299999999999</v>
      </c>
      <c r="AA146" s="163">
        <f t="shared" si="132"/>
        <v>523.47900000000004</v>
      </c>
    </row>
    <row r="147" spans="1:27">
      <c r="A147" s="35"/>
      <c r="B147" s="27"/>
      <c r="C147" s="168"/>
      <c r="D147" s="164"/>
      <c r="E147" s="37"/>
      <c r="F147" s="33"/>
      <c r="G147" s="34"/>
      <c r="H147" s="68"/>
      <c r="I147" s="161"/>
      <c r="J147" s="163"/>
      <c r="K147" s="163"/>
      <c r="L147" s="163"/>
      <c r="M147" s="164"/>
      <c r="N147" s="163"/>
      <c r="O147" s="163"/>
      <c r="P147" s="163"/>
      <c r="Q147" s="164"/>
      <c r="R147" s="163"/>
      <c r="S147" s="163"/>
      <c r="T147" s="163"/>
      <c r="U147" s="164"/>
      <c r="V147" s="163"/>
      <c r="W147" s="163"/>
      <c r="X147" s="163"/>
      <c r="Y147" s="164"/>
      <c r="Z147" s="163"/>
      <c r="AA147" s="163"/>
    </row>
    <row r="148" spans="1:27">
      <c r="A148" s="35"/>
      <c r="B148" s="27"/>
      <c r="C148" s="172" t="s">
        <v>288</v>
      </c>
      <c r="D148" s="164"/>
      <c r="E148" s="37"/>
      <c r="F148" s="33"/>
      <c r="G148" s="34"/>
      <c r="H148" s="68"/>
      <c r="I148" s="161"/>
      <c r="J148" s="163"/>
      <c r="K148" s="163"/>
      <c r="L148" s="163"/>
      <c r="M148" s="164"/>
      <c r="N148" s="163"/>
      <c r="O148" s="163"/>
      <c r="P148" s="163"/>
      <c r="Q148" s="164"/>
      <c r="R148" s="163"/>
      <c r="S148" s="163"/>
      <c r="T148" s="163"/>
      <c r="U148" s="164"/>
      <c r="V148" s="163"/>
      <c r="W148" s="163"/>
      <c r="X148" s="163"/>
      <c r="Y148" s="164"/>
      <c r="Z148" s="163"/>
      <c r="AA148" s="163"/>
    </row>
    <row r="149" spans="1:27">
      <c r="A149" s="35"/>
      <c r="B149" s="27"/>
      <c r="C149" s="336" t="s">
        <v>289</v>
      </c>
      <c r="D149" s="164" t="s">
        <v>69</v>
      </c>
      <c r="E149" s="29">
        <f t="shared" ref="E149:E160" si="133">I149+M149+Q149+U149+Y149</f>
        <v>249</v>
      </c>
      <c r="F149" s="32">
        <v>67.619</v>
      </c>
      <c r="G149" s="32">
        <f t="shared" ref="G149:G160" si="134">K149+O149+S149+W149+AA149</f>
        <v>16837.131000000001</v>
      </c>
      <c r="H149" s="68"/>
      <c r="I149" s="161">
        <v>73</v>
      </c>
      <c r="J149" s="32">
        <v>67.619</v>
      </c>
      <c r="K149" s="163">
        <f t="shared" ref="K149:K160" si="135">J149*I149</f>
        <v>4936.1869999999999</v>
      </c>
      <c r="L149" s="163"/>
      <c r="M149" s="164"/>
      <c r="N149" s="163"/>
      <c r="O149" s="163">
        <f t="shared" ref="O149:O160" si="136">N149*M149</f>
        <v>0</v>
      </c>
      <c r="P149" s="163"/>
      <c r="Q149" s="164">
        <v>69</v>
      </c>
      <c r="R149" s="32">
        <v>67.619</v>
      </c>
      <c r="S149" s="163">
        <f t="shared" ref="S149:S160" si="137">R149*Q149</f>
        <v>4665.7110000000002</v>
      </c>
      <c r="T149" s="163"/>
      <c r="U149" s="164">
        <v>107</v>
      </c>
      <c r="V149" s="32">
        <v>67.619</v>
      </c>
      <c r="W149" s="163">
        <f t="shared" ref="W149:W160" si="138">V149*U149</f>
        <v>7235.2330000000002</v>
      </c>
      <c r="X149" s="163"/>
      <c r="Y149" s="164"/>
      <c r="Z149" s="163"/>
      <c r="AA149" s="163">
        <f t="shared" ref="AA149:AA160" si="139">Z149*Y149</f>
        <v>0</v>
      </c>
    </row>
    <row r="150" spans="1:27">
      <c r="A150" s="35"/>
      <c r="B150" s="27"/>
      <c r="C150" s="336" t="s">
        <v>865</v>
      </c>
      <c r="D150" s="164" t="s">
        <v>69</v>
      </c>
      <c r="E150" s="29">
        <f t="shared" si="133"/>
        <v>30</v>
      </c>
      <c r="F150" s="32">
        <v>77.739999999999995</v>
      </c>
      <c r="G150" s="32">
        <f t="shared" si="134"/>
        <v>2332.1999999999998</v>
      </c>
      <c r="H150" s="68"/>
      <c r="I150" s="161">
        <v>5</v>
      </c>
      <c r="J150" s="32">
        <v>77.739999999999995</v>
      </c>
      <c r="K150" s="163">
        <f t="shared" si="135"/>
        <v>388.7</v>
      </c>
      <c r="L150" s="163"/>
      <c r="M150" s="164"/>
      <c r="N150" s="163"/>
      <c r="O150" s="163">
        <f t="shared" si="136"/>
        <v>0</v>
      </c>
      <c r="P150" s="163"/>
      <c r="Q150" s="164">
        <v>9</v>
      </c>
      <c r="R150" s="32">
        <v>77.739999999999995</v>
      </c>
      <c r="S150" s="163">
        <f t="shared" si="137"/>
        <v>699.66</v>
      </c>
      <c r="T150" s="163"/>
      <c r="U150" s="164">
        <v>16</v>
      </c>
      <c r="V150" s="32">
        <v>77.739999999999995</v>
      </c>
      <c r="W150" s="163">
        <f t="shared" si="138"/>
        <v>1243.8399999999999</v>
      </c>
      <c r="X150" s="163"/>
      <c r="Y150" s="164"/>
      <c r="Z150" s="163"/>
      <c r="AA150" s="163">
        <f t="shared" si="139"/>
        <v>0</v>
      </c>
    </row>
    <row r="151" spans="1:27">
      <c r="A151" s="35"/>
      <c r="B151" s="27"/>
      <c r="C151" s="336" t="s">
        <v>290</v>
      </c>
      <c r="D151" s="164" t="s">
        <v>69</v>
      </c>
      <c r="E151" s="29">
        <f t="shared" si="133"/>
        <v>11</v>
      </c>
      <c r="F151" s="32">
        <v>70.290999999999997</v>
      </c>
      <c r="G151" s="32">
        <f t="shared" si="134"/>
        <v>773.20100000000002</v>
      </c>
      <c r="H151" s="68"/>
      <c r="I151" s="161"/>
      <c r="J151" s="163"/>
      <c r="K151" s="163">
        <f t="shared" si="135"/>
        <v>0</v>
      </c>
      <c r="L151" s="163"/>
      <c r="M151" s="164"/>
      <c r="N151" s="163"/>
      <c r="O151" s="163">
        <f t="shared" si="136"/>
        <v>0</v>
      </c>
      <c r="P151" s="163"/>
      <c r="Q151" s="164">
        <v>11</v>
      </c>
      <c r="R151" s="32">
        <v>70.290999999999997</v>
      </c>
      <c r="S151" s="163">
        <f t="shared" si="137"/>
        <v>773.20100000000002</v>
      </c>
      <c r="T151" s="163"/>
      <c r="U151" s="164"/>
      <c r="V151" s="32"/>
      <c r="W151" s="163">
        <f t="shared" si="138"/>
        <v>0</v>
      </c>
      <c r="X151" s="163"/>
      <c r="Y151" s="164"/>
      <c r="Z151" s="163"/>
      <c r="AA151" s="163">
        <f t="shared" si="139"/>
        <v>0</v>
      </c>
    </row>
    <row r="152" spans="1:27">
      <c r="A152" s="35"/>
      <c r="B152" s="27"/>
      <c r="C152" s="336" t="s">
        <v>866</v>
      </c>
      <c r="D152" s="164" t="s">
        <v>69</v>
      </c>
      <c r="E152" s="372">
        <f t="shared" si="133"/>
        <v>73</v>
      </c>
      <c r="F152" s="32">
        <v>244.01599999999999</v>
      </c>
      <c r="G152" s="32">
        <f t="shared" si="134"/>
        <v>17813.167999999998</v>
      </c>
      <c r="H152" s="68"/>
      <c r="I152" s="374">
        <v>18</v>
      </c>
      <c r="J152" s="32">
        <v>244.01599999999999</v>
      </c>
      <c r="K152" s="163">
        <f t="shared" si="135"/>
        <v>4392.2879999999996</v>
      </c>
      <c r="L152" s="163"/>
      <c r="M152" s="164"/>
      <c r="N152" s="163"/>
      <c r="O152" s="163">
        <f t="shared" si="136"/>
        <v>0</v>
      </c>
      <c r="P152" s="163"/>
      <c r="Q152" s="164">
        <v>21</v>
      </c>
      <c r="R152" s="32">
        <v>244.01599999999999</v>
      </c>
      <c r="S152" s="163">
        <f t="shared" si="137"/>
        <v>5124.3360000000002</v>
      </c>
      <c r="T152" s="163"/>
      <c r="U152" s="164">
        <v>34</v>
      </c>
      <c r="V152" s="32">
        <v>244.01599999999999</v>
      </c>
      <c r="W152" s="163">
        <f t="shared" si="138"/>
        <v>8296.5439999999999</v>
      </c>
      <c r="X152" s="163"/>
      <c r="Y152" s="164"/>
      <c r="Z152" s="163"/>
      <c r="AA152" s="163">
        <f t="shared" si="139"/>
        <v>0</v>
      </c>
    </row>
    <row r="153" spans="1:27">
      <c r="A153" s="35"/>
      <c r="B153" s="27"/>
      <c r="C153" s="388" t="s">
        <v>947</v>
      </c>
      <c r="D153" s="371" t="s">
        <v>69</v>
      </c>
      <c r="E153" s="372">
        <f t="shared" si="133"/>
        <v>12</v>
      </c>
      <c r="F153" s="367">
        <v>278.25200000000001</v>
      </c>
      <c r="G153" s="367">
        <f t="shared" si="134"/>
        <v>3339.0240000000003</v>
      </c>
      <c r="H153" s="68"/>
      <c r="I153" s="374">
        <v>2</v>
      </c>
      <c r="J153" s="367">
        <v>278.25200000000001</v>
      </c>
      <c r="K153" s="373">
        <f t="shared" si="135"/>
        <v>556.50400000000002</v>
      </c>
      <c r="L153" s="163"/>
      <c r="M153" s="374">
        <v>4</v>
      </c>
      <c r="N153" s="367">
        <v>278.25200000000001</v>
      </c>
      <c r="O153" s="373">
        <f t="shared" si="136"/>
        <v>1113.008</v>
      </c>
      <c r="P153" s="163"/>
      <c r="Q153" s="164"/>
      <c r="R153" s="163"/>
      <c r="S153" s="163"/>
      <c r="T153" s="163"/>
      <c r="U153" s="164"/>
      <c r="V153" s="163"/>
      <c r="W153" s="163"/>
      <c r="X153" s="163"/>
      <c r="Y153" s="371">
        <v>6</v>
      </c>
      <c r="Z153" s="367">
        <v>278.25200000000001</v>
      </c>
      <c r="AA153" s="373">
        <f t="shared" si="139"/>
        <v>1669.5120000000002</v>
      </c>
    </row>
    <row r="154" spans="1:27">
      <c r="A154" s="35"/>
      <c r="B154" s="27"/>
      <c r="C154" s="336" t="s">
        <v>867</v>
      </c>
      <c r="D154" s="164" t="s">
        <v>69</v>
      </c>
      <c r="E154" s="29">
        <f t="shared" si="133"/>
        <v>7</v>
      </c>
      <c r="F154" s="32">
        <v>398.72800000000001</v>
      </c>
      <c r="G154" s="32">
        <f t="shared" si="134"/>
        <v>2791.096</v>
      </c>
      <c r="H154" s="68"/>
      <c r="I154" s="161">
        <v>7</v>
      </c>
      <c r="J154" s="32">
        <v>398.72800000000001</v>
      </c>
      <c r="K154" s="163">
        <f t="shared" si="135"/>
        <v>2791.096</v>
      </c>
      <c r="L154" s="163"/>
      <c r="M154" s="164"/>
      <c r="N154" s="163"/>
      <c r="O154" s="163">
        <f t="shared" si="136"/>
        <v>0</v>
      </c>
      <c r="P154" s="163"/>
      <c r="Q154" s="164"/>
      <c r="R154" s="163"/>
      <c r="S154" s="163">
        <f t="shared" ref="S154:S155" si="140">R154*Q154</f>
        <v>0</v>
      </c>
      <c r="T154" s="163"/>
      <c r="U154" s="164"/>
      <c r="V154" s="163"/>
      <c r="W154" s="163">
        <f t="shared" ref="W154:W155" si="141">V154*U154</f>
        <v>0</v>
      </c>
      <c r="X154" s="163"/>
      <c r="Y154" s="164"/>
      <c r="Z154" s="163"/>
      <c r="AA154" s="163">
        <f t="shared" si="139"/>
        <v>0</v>
      </c>
    </row>
    <row r="155" spans="1:27">
      <c r="A155" s="35"/>
      <c r="B155" s="27"/>
      <c r="C155" s="336" t="s">
        <v>868</v>
      </c>
      <c r="D155" s="164" t="s">
        <v>69</v>
      </c>
      <c r="E155" s="29">
        <f t="shared" si="133"/>
        <v>2</v>
      </c>
      <c r="F155" s="32">
        <v>286.822</v>
      </c>
      <c r="G155" s="32">
        <f t="shared" si="134"/>
        <v>573.64400000000001</v>
      </c>
      <c r="H155" s="68"/>
      <c r="I155" s="161">
        <v>1</v>
      </c>
      <c r="J155" s="32">
        <v>286.822</v>
      </c>
      <c r="K155" s="163">
        <f t="shared" si="135"/>
        <v>286.822</v>
      </c>
      <c r="L155" s="163"/>
      <c r="M155" s="164"/>
      <c r="N155" s="163"/>
      <c r="O155" s="163">
        <f t="shared" si="136"/>
        <v>0</v>
      </c>
      <c r="P155" s="163"/>
      <c r="Q155" s="164"/>
      <c r="R155" s="163"/>
      <c r="S155" s="163">
        <f t="shared" si="140"/>
        <v>0</v>
      </c>
      <c r="T155" s="163"/>
      <c r="U155" s="164">
        <v>1</v>
      </c>
      <c r="V155" s="32">
        <v>286.822</v>
      </c>
      <c r="W155" s="163">
        <f t="shared" si="141"/>
        <v>286.822</v>
      </c>
      <c r="X155" s="163"/>
      <c r="Y155" s="164"/>
      <c r="Z155" s="163"/>
      <c r="AA155" s="163">
        <f t="shared" si="139"/>
        <v>0</v>
      </c>
    </row>
    <row r="156" spans="1:27">
      <c r="A156" s="35"/>
      <c r="B156" s="27"/>
      <c r="C156" s="336" t="s">
        <v>291</v>
      </c>
      <c r="D156" s="164" t="s">
        <v>69</v>
      </c>
      <c r="E156" s="29">
        <f t="shared" si="133"/>
        <v>8</v>
      </c>
      <c r="F156" s="32">
        <v>32.462000000000003</v>
      </c>
      <c r="G156" s="32">
        <f t="shared" si="134"/>
        <v>259.69600000000003</v>
      </c>
      <c r="H156" s="68"/>
      <c r="I156" s="161">
        <v>4</v>
      </c>
      <c r="J156" s="32">
        <v>32.462000000000003</v>
      </c>
      <c r="K156" s="163">
        <f t="shared" si="135"/>
        <v>129.84800000000001</v>
      </c>
      <c r="L156" s="163"/>
      <c r="M156" s="164"/>
      <c r="N156" s="163"/>
      <c r="O156" s="163">
        <f t="shared" si="136"/>
        <v>0</v>
      </c>
      <c r="P156" s="163"/>
      <c r="Q156" s="164"/>
      <c r="R156" s="163"/>
      <c r="S156" s="163">
        <f t="shared" si="137"/>
        <v>0</v>
      </c>
      <c r="T156" s="163"/>
      <c r="U156" s="164">
        <v>2</v>
      </c>
      <c r="V156" s="32">
        <v>32.462000000000003</v>
      </c>
      <c r="W156" s="163">
        <f t="shared" si="138"/>
        <v>64.924000000000007</v>
      </c>
      <c r="X156" s="163"/>
      <c r="Y156" s="164">
        <v>2</v>
      </c>
      <c r="Z156" s="32">
        <v>32.462000000000003</v>
      </c>
      <c r="AA156" s="163">
        <f t="shared" si="139"/>
        <v>64.924000000000007</v>
      </c>
    </row>
    <row r="157" spans="1:27">
      <c r="A157" s="35"/>
      <c r="B157" s="27"/>
      <c r="C157" s="190" t="s">
        <v>292</v>
      </c>
      <c r="D157" s="164" t="s">
        <v>948</v>
      </c>
      <c r="E157" s="29">
        <f t="shared" si="133"/>
        <v>16</v>
      </c>
      <c r="F157" s="32">
        <v>45.758000000000003</v>
      </c>
      <c r="G157" s="32">
        <f t="shared" si="134"/>
        <v>732.12800000000004</v>
      </c>
      <c r="H157" s="68"/>
      <c r="I157" s="161">
        <v>9</v>
      </c>
      <c r="J157" s="32">
        <v>45.758000000000003</v>
      </c>
      <c r="K157" s="163">
        <f t="shared" si="135"/>
        <v>411.822</v>
      </c>
      <c r="L157" s="163"/>
      <c r="M157" s="337"/>
      <c r="N157" s="163"/>
      <c r="O157" s="163">
        <f t="shared" si="136"/>
        <v>0</v>
      </c>
      <c r="P157" s="163"/>
      <c r="Q157" s="337"/>
      <c r="R157" s="163"/>
      <c r="S157" s="163">
        <f t="shared" si="137"/>
        <v>0</v>
      </c>
      <c r="T157" s="163"/>
      <c r="U157" s="337">
        <v>2</v>
      </c>
      <c r="V157" s="32">
        <v>45.758000000000003</v>
      </c>
      <c r="W157" s="163">
        <f t="shared" si="138"/>
        <v>91.516000000000005</v>
      </c>
      <c r="X157" s="163"/>
      <c r="Y157" s="337">
        <v>5</v>
      </c>
      <c r="Z157" s="32">
        <v>45.758000000000003</v>
      </c>
      <c r="AA157" s="163">
        <f t="shared" si="139"/>
        <v>228.79000000000002</v>
      </c>
    </row>
    <row r="158" spans="1:27">
      <c r="A158" s="35"/>
      <c r="B158" s="27"/>
      <c r="C158" s="190" t="s">
        <v>949</v>
      </c>
      <c r="D158" s="164" t="s">
        <v>69</v>
      </c>
      <c r="E158" s="29">
        <f t="shared" si="133"/>
        <v>4</v>
      </c>
      <c r="F158" s="32">
        <v>2462.12</v>
      </c>
      <c r="G158" s="32">
        <f t="shared" si="134"/>
        <v>9848.48</v>
      </c>
      <c r="H158" s="68"/>
      <c r="I158" s="161"/>
      <c r="J158" s="163"/>
      <c r="K158" s="163">
        <f t="shared" si="135"/>
        <v>0</v>
      </c>
      <c r="L158" s="163"/>
      <c r="M158" s="337">
        <v>1</v>
      </c>
      <c r="N158" s="32">
        <v>2462.12</v>
      </c>
      <c r="O158" s="163">
        <f t="shared" si="136"/>
        <v>2462.12</v>
      </c>
      <c r="P158" s="163"/>
      <c r="Q158" s="337">
        <v>3</v>
      </c>
      <c r="R158" s="32">
        <v>2462.12</v>
      </c>
      <c r="S158" s="163">
        <f t="shared" si="137"/>
        <v>7386.36</v>
      </c>
      <c r="T158" s="163"/>
      <c r="U158" s="337"/>
      <c r="V158" s="163"/>
      <c r="W158" s="163">
        <f t="shared" si="138"/>
        <v>0</v>
      </c>
      <c r="X158" s="163"/>
      <c r="Y158" s="337"/>
      <c r="Z158" s="163"/>
      <c r="AA158" s="163">
        <f t="shared" si="139"/>
        <v>0</v>
      </c>
    </row>
    <row r="159" spans="1:27" ht="27.6">
      <c r="A159" s="35"/>
      <c r="B159" s="27"/>
      <c r="C159" s="336" t="s">
        <v>950</v>
      </c>
      <c r="D159" s="164" t="s">
        <v>69</v>
      </c>
      <c r="E159" s="372">
        <f t="shared" si="133"/>
        <v>6</v>
      </c>
      <c r="F159" s="32">
        <v>2184.1799999999998</v>
      </c>
      <c r="G159" s="32">
        <f t="shared" si="134"/>
        <v>13105.079999999998</v>
      </c>
      <c r="H159" s="68"/>
      <c r="I159" s="161"/>
      <c r="J159" s="163"/>
      <c r="K159" s="163">
        <f t="shared" si="135"/>
        <v>0</v>
      </c>
      <c r="L159" s="163"/>
      <c r="M159" s="337"/>
      <c r="N159" s="163"/>
      <c r="O159" s="163">
        <f t="shared" si="136"/>
        <v>0</v>
      </c>
      <c r="P159" s="163"/>
      <c r="Q159" s="337"/>
      <c r="R159" s="163"/>
      <c r="S159" s="163">
        <f t="shared" si="137"/>
        <v>0</v>
      </c>
      <c r="T159" s="163"/>
      <c r="U159" s="389">
        <v>6</v>
      </c>
      <c r="V159" s="32">
        <v>2184.1799999999998</v>
      </c>
      <c r="W159" s="163">
        <f t="shared" si="138"/>
        <v>13105.079999999998</v>
      </c>
      <c r="X159" s="163"/>
      <c r="Y159" s="337"/>
      <c r="Z159" s="163"/>
      <c r="AA159" s="163">
        <f t="shared" si="139"/>
        <v>0</v>
      </c>
    </row>
    <row r="160" spans="1:27" ht="41.4">
      <c r="A160" s="35"/>
      <c r="B160" s="27"/>
      <c r="C160" s="336" t="s">
        <v>951</v>
      </c>
      <c r="D160" s="164" t="s">
        <v>69</v>
      </c>
      <c r="E160" s="372">
        <f t="shared" si="133"/>
        <v>8</v>
      </c>
      <c r="F160" s="32">
        <v>2919.41</v>
      </c>
      <c r="G160" s="32">
        <f t="shared" si="134"/>
        <v>23355.279999999999</v>
      </c>
      <c r="H160" s="68"/>
      <c r="I160" s="161"/>
      <c r="J160" s="163"/>
      <c r="K160" s="163">
        <f t="shared" si="135"/>
        <v>0</v>
      </c>
      <c r="L160" s="163"/>
      <c r="M160" s="337">
        <v>0</v>
      </c>
      <c r="N160" s="163"/>
      <c r="O160" s="163">
        <f t="shared" si="136"/>
        <v>0</v>
      </c>
      <c r="P160" s="163"/>
      <c r="Q160" s="337"/>
      <c r="R160" s="163"/>
      <c r="S160" s="163">
        <f t="shared" si="137"/>
        <v>0</v>
      </c>
      <c r="T160" s="163"/>
      <c r="U160" s="389">
        <v>8</v>
      </c>
      <c r="V160" s="32">
        <v>2919.41</v>
      </c>
      <c r="W160" s="163">
        <f t="shared" si="138"/>
        <v>23355.279999999999</v>
      </c>
      <c r="X160" s="163"/>
      <c r="Y160" s="337"/>
      <c r="Z160" s="163"/>
      <c r="AA160" s="163">
        <f t="shared" si="139"/>
        <v>0</v>
      </c>
    </row>
    <row r="161" spans="1:27">
      <c r="A161" s="35"/>
      <c r="B161" s="27"/>
      <c r="C161" s="336"/>
      <c r="D161" s="164"/>
      <c r="E161" s="37"/>
      <c r="F161" s="33"/>
      <c r="G161" s="34"/>
      <c r="H161" s="68"/>
      <c r="I161" s="161"/>
      <c r="J161" s="163"/>
      <c r="K161" s="163"/>
      <c r="L161" s="163"/>
      <c r="M161" s="164"/>
      <c r="N161" s="163"/>
      <c r="O161" s="163"/>
      <c r="P161" s="163"/>
      <c r="Q161" s="164"/>
      <c r="R161" s="163"/>
      <c r="S161" s="163"/>
      <c r="T161" s="163"/>
      <c r="U161" s="164"/>
      <c r="V161" s="163"/>
      <c r="W161" s="163"/>
      <c r="X161" s="163"/>
      <c r="Y161" s="164"/>
      <c r="Z161" s="163"/>
      <c r="AA161" s="163"/>
    </row>
    <row r="162" spans="1:27">
      <c r="A162" s="35"/>
      <c r="B162" s="27"/>
      <c r="C162" s="172" t="s">
        <v>293</v>
      </c>
      <c r="D162" s="164"/>
      <c r="E162" s="37"/>
      <c r="F162" s="33"/>
      <c r="G162" s="34"/>
      <c r="H162" s="68"/>
      <c r="I162" s="161"/>
      <c r="J162" s="163"/>
      <c r="K162" s="163"/>
      <c r="L162" s="163"/>
      <c r="M162" s="164"/>
      <c r="N162" s="163"/>
      <c r="O162" s="163"/>
      <c r="P162" s="163"/>
      <c r="Q162" s="164"/>
      <c r="R162" s="163"/>
      <c r="S162" s="163"/>
      <c r="T162" s="163"/>
      <c r="U162" s="164"/>
      <c r="V162" s="163"/>
      <c r="W162" s="163"/>
      <c r="X162" s="163"/>
      <c r="Y162" s="164"/>
      <c r="Z162" s="163"/>
      <c r="AA162" s="163"/>
    </row>
    <row r="163" spans="1:27">
      <c r="A163" s="35"/>
      <c r="B163" s="27"/>
      <c r="C163" s="168" t="s">
        <v>294</v>
      </c>
      <c r="D163" s="164" t="s">
        <v>295</v>
      </c>
      <c r="E163" s="29">
        <f t="shared" ref="E163" si="142">I163+M163+Q163+U163+Y163</f>
        <v>1</v>
      </c>
      <c r="F163" s="32">
        <v>565.78099999999995</v>
      </c>
      <c r="G163" s="32">
        <f t="shared" ref="G163" si="143">K163+O163+S163+W163+AA163</f>
        <v>565.78099999999995</v>
      </c>
      <c r="H163" s="68"/>
      <c r="I163" s="161"/>
      <c r="J163" s="163"/>
      <c r="K163" s="163">
        <f t="shared" ref="K163" si="144">J163*I163</f>
        <v>0</v>
      </c>
      <c r="L163" s="163"/>
      <c r="M163" s="164"/>
      <c r="N163" s="163"/>
      <c r="O163" s="163">
        <f t="shared" ref="O163" si="145">N163*M163</f>
        <v>0</v>
      </c>
      <c r="P163" s="163"/>
      <c r="Q163" s="164"/>
      <c r="R163" s="163"/>
      <c r="S163" s="163">
        <f t="shared" ref="S163" si="146">R163*Q163</f>
        <v>0</v>
      </c>
      <c r="T163" s="163"/>
      <c r="U163" s="164">
        <v>1</v>
      </c>
      <c r="V163" s="32">
        <v>565.78099999999995</v>
      </c>
      <c r="W163" s="163">
        <f t="shared" ref="W163" si="147">V163*U163</f>
        <v>565.78099999999995</v>
      </c>
      <c r="X163" s="163"/>
      <c r="Y163" s="164"/>
      <c r="Z163" s="163"/>
      <c r="AA163" s="163">
        <f t="shared" ref="AA163" si="148">Z163*Y163</f>
        <v>0</v>
      </c>
    </row>
    <row r="164" spans="1:27">
      <c r="A164" s="35"/>
      <c r="B164" s="27"/>
      <c r="C164" s="168"/>
      <c r="D164" s="164"/>
      <c r="E164" s="37"/>
      <c r="F164" s="33"/>
      <c r="G164" s="34"/>
      <c r="H164" s="68"/>
      <c r="I164" s="161"/>
      <c r="J164" s="163"/>
      <c r="K164" s="163"/>
      <c r="L164" s="163"/>
      <c r="M164" s="164"/>
      <c r="N164" s="163"/>
      <c r="O164" s="163"/>
      <c r="P164" s="163"/>
      <c r="Q164" s="164"/>
      <c r="R164" s="163"/>
      <c r="S164" s="163"/>
      <c r="T164" s="163"/>
      <c r="U164" s="164"/>
      <c r="V164" s="163"/>
      <c r="W164" s="163"/>
      <c r="X164" s="163"/>
      <c r="Y164" s="164"/>
      <c r="Z164" s="163"/>
      <c r="AA164" s="163"/>
    </row>
    <row r="165" spans="1:27">
      <c r="A165" s="35"/>
      <c r="B165" s="27"/>
      <c r="C165" s="172" t="s">
        <v>314</v>
      </c>
      <c r="D165" s="164"/>
      <c r="E165" s="29"/>
      <c r="F165" s="33" t="s">
        <v>10</v>
      </c>
      <c r="G165" s="182">
        <f>K165+O165+S165+W165+AA165</f>
        <v>124241.28800000002</v>
      </c>
      <c r="H165" s="68"/>
      <c r="I165" s="161"/>
      <c r="J165" s="33" t="s">
        <v>10</v>
      </c>
      <c r="K165" s="34">
        <f>SUM(K133:K164)</f>
        <v>22450.565000000006</v>
      </c>
      <c r="L165" s="163"/>
      <c r="M165" s="164"/>
      <c r="N165" s="163"/>
      <c r="O165" s="34">
        <f>SUM(O133:O164)</f>
        <v>9836.9540000000015</v>
      </c>
      <c r="P165" s="163"/>
      <c r="Q165" s="164"/>
      <c r="R165" s="163"/>
      <c r="S165" s="34">
        <f>SUM(S133:S164)</f>
        <v>23466.917000000001</v>
      </c>
      <c r="T165" s="163"/>
      <c r="U165" s="164"/>
      <c r="V165" s="163"/>
      <c r="W165" s="34">
        <f>SUM(W133:W164)</f>
        <v>64307.646000000001</v>
      </c>
      <c r="X165" s="163"/>
      <c r="Y165" s="164"/>
      <c r="Z165" s="163"/>
      <c r="AA165" s="34">
        <f>SUM(AA133:AA164)</f>
        <v>4179.206000000001</v>
      </c>
    </row>
    <row r="166" spans="1:27">
      <c r="A166" s="35"/>
      <c r="B166" s="27"/>
      <c r="C166" s="168"/>
      <c r="D166" s="164"/>
      <c r="E166" s="37"/>
      <c r="F166" s="33"/>
      <c r="G166" s="34"/>
      <c r="H166" s="68"/>
      <c r="I166" s="161"/>
      <c r="J166" s="163"/>
      <c r="K166" s="163"/>
      <c r="L166" s="163"/>
      <c r="M166" s="164"/>
      <c r="N166" s="163"/>
      <c r="O166" s="163"/>
      <c r="P166" s="163"/>
      <c r="Q166" s="164"/>
      <c r="R166" s="163"/>
      <c r="S166" s="163"/>
      <c r="T166" s="163"/>
      <c r="U166" s="164"/>
      <c r="V166" s="163"/>
      <c r="W166" s="163"/>
      <c r="X166" s="163"/>
      <c r="Y166" s="164"/>
      <c r="Z166" s="163"/>
      <c r="AA166" s="163"/>
    </row>
    <row r="167" spans="1:27">
      <c r="A167" s="35"/>
      <c r="B167" s="27"/>
      <c r="C167" s="168"/>
      <c r="D167" s="164"/>
      <c r="E167" s="37"/>
      <c r="F167" s="33"/>
      <c r="G167" s="34"/>
      <c r="H167" s="68"/>
      <c r="I167" s="161"/>
      <c r="J167" s="163"/>
      <c r="K167" s="163"/>
      <c r="L167" s="163"/>
      <c r="M167" s="164"/>
      <c r="N167" s="163"/>
      <c r="O167" s="163"/>
      <c r="P167" s="163"/>
      <c r="Q167" s="164"/>
      <c r="R167" s="163"/>
      <c r="S167" s="163"/>
      <c r="T167" s="163"/>
      <c r="U167" s="164"/>
      <c r="V167" s="163"/>
      <c r="W167" s="163"/>
      <c r="X167" s="163"/>
      <c r="Y167" s="164"/>
      <c r="Z167" s="163"/>
      <c r="AA167" s="163"/>
    </row>
    <row r="168" spans="1:27">
      <c r="A168" s="35"/>
      <c r="B168" s="62" t="s">
        <v>84</v>
      </c>
      <c r="C168" s="62" t="s">
        <v>316</v>
      </c>
      <c r="D168" s="181"/>
      <c r="E168" s="174"/>
      <c r="F168" s="175"/>
      <c r="G168" s="176"/>
      <c r="H168" s="176"/>
      <c r="I168" s="177"/>
      <c r="J168" s="178"/>
      <c r="K168" s="180"/>
      <c r="L168" s="180"/>
      <c r="M168" s="180"/>
      <c r="N168" s="179"/>
      <c r="O168" s="180"/>
      <c r="P168" s="180"/>
      <c r="Q168" s="180"/>
      <c r="R168" s="179"/>
      <c r="S168" s="180"/>
      <c r="T168" s="180"/>
      <c r="U168" s="180"/>
      <c r="V168" s="179"/>
      <c r="W168" s="180"/>
      <c r="X168" s="180"/>
      <c r="Y168" s="180"/>
      <c r="Z168" s="179"/>
      <c r="AA168" s="180"/>
    </row>
    <row r="169" spans="1:27">
      <c r="A169" s="35"/>
      <c r="B169" s="27"/>
      <c r="C169" s="336" t="s">
        <v>291</v>
      </c>
      <c r="D169" s="164" t="s">
        <v>69</v>
      </c>
      <c r="E169" s="29">
        <f t="shared" ref="E169:E181" si="149">I169+M169+Q169+U169+Y169</f>
        <v>20</v>
      </c>
      <c r="F169" s="32">
        <v>40.393000000000001</v>
      </c>
      <c r="G169" s="32">
        <f t="shared" ref="G169:G181" si="150">K169+O169+S169+W169+AA169</f>
        <v>807.86</v>
      </c>
      <c r="H169" s="68"/>
      <c r="I169" s="161">
        <v>8</v>
      </c>
      <c r="J169" s="32">
        <v>40.393000000000001</v>
      </c>
      <c r="K169" s="163">
        <f t="shared" ref="K169:K181" si="151">J169*I169</f>
        <v>323.14400000000001</v>
      </c>
      <c r="L169" s="163"/>
      <c r="M169" s="164"/>
      <c r="N169" s="163"/>
      <c r="O169" s="163">
        <f t="shared" ref="O169:O181" si="152">N169*M169</f>
        <v>0</v>
      </c>
      <c r="P169" s="163"/>
      <c r="Q169" s="164">
        <v>7</v>
      </c>
      <c r="R169" s="32">
        <v>40.393000000000001</v>
      </c>
      <c r="S169" s="163">
        <f t="shared" ref="S169:S181" si="153">R169*Q169</f>
        <v>282.75099999999998</v>
      </c>
      <c r="T169" s="163"/>
      <c r="U169" s="164">
        <v>5</v>
      </c>
      <c r="V169" s="32">
        <v>40.393000000000001</v>
      </c>
      <c r="W169" s="163">
        <f t="shared" ref="W169:W181" si="154">V169*U169</f>
        <v>201.965</v>
      </c>
      <c r="X169" s="163"/>
      <c r="Y169" s="164"/>
      <c r="Z169" s="163"/>
      <c r="AA169" s="163">
        <f t="shared" ref="AA169:AA181" si="155">Z169*Y169</f>
        <v>0</v>
      </c>
    </row>
    <row r="170" spans="1:27">
      <c r="A170" s="35"/>
      <c r="B170" s="27"/>
      <c r="C170" s="336" t="s">
        <v>869</v>
      </c>
      <c r="D170" s="164" t="s">
        <v>295</v>
      </c>
      <c r="E170" s="29">
        <f t="shared" si="149"/>
        <v>1</v>
      </c>
      <c r="F170" s="32">
        <v>222.36600000000001</v>
      </c>
      <c r="G170" s="32">
        <f t="shared" si="150"/>
        <v>222.36600000000001</v>
      </c>
      <c r="H170" s="68"/>
      <c r="I170" s="161"/>
      <c r="J170" s="163"/>
      <c r="K170" s="163">
        <f t="shared" si="151"/>
        <v>0</v>
      </c>
      <c r="L170" s="163"/>
      <c r="M170" s="164"/>
      <c r="N170" s="163"/>
      <c r="O170" s="163">
        <f t="shared" si="152"/>
        <v>0</v>
      </c>
      <c r="P170" s="163"/>
      <c r="Q170" s="164">
        <v>1</v>
      </c>
      <c r="R170" s="32">
        <v>222.36600000000001</v>
      </c>
      <c r="S170" s="163">
        <f t="shared" si="153"/>
        <v>222.36600000000001</v>
      </c>
      <c r="T170" s="163"/>
      <c r="U170" s="164"/>
      <c r="V170" s="163"/>
      <c r="W170" s="163">
        <f t="shared" si="154"/>
        <v>0</v>
      </c>
      <c r="X170" s="163"/>
      <c r="Y170" s="164"/>
      <c r="Z170" s="163"/>
      <c r="AA170" s="163">
        <f t="shared" si="155"/>
        <v>0</v>
      </c>
    </row>
    <row r="171" spans="1:27">
      <c r="A171" s="35"/>
      <c r="B171" s="27"/>
      <c r="C171" s="336" t="s">
        <v>296</v>
      </c>
      <c r="D171" s="164" t="s">
        <v>295</v>
      </c>
      <c r="E171" s="29">
        <f t="shared" si="149"/>
        <v>1</v>
      </c>
      <c r="F171" s="32">
        <v>605.22699999999998</v>
      </c>
      <c r="G171" s="32">
        <f t="shared" si="150"/>
        <v>605.22699999999998</v>
      </c>
      <c r="H171" s="68"/>
      <c r="I171" s="161"/>
      <c r="J171" s="163"/>
      <c r="K171" s="163">
        <f t="shared" si="151"/>
        <v>0</v>
      </c>
      <c r="L171" s="163"/>
      <c r="M171" s="164"/>
      <c r="N171" s="163"/>
      <c r="O171" s="163">
        <f t="shared" si="152"/>
        <v>0</v>
      </c>
      <c r="P171" s="163"/>
      <c r="Q171" s="164">
        <v>1</v>
      </c>
      <c r="R171" s="32">
        <v>605.22699999999998</v>
      </c>
      <c r="S171" s="163">
        <f t="shared" si="153"/>
        <v>605.22699999999998</v>
      </c>
      <c r="T171" s="163"/>
      <c r="U171" s="164"/>
      <c r="V171" s="163"/>
      <c r="W171" s="163">
        <f t="shared" si="154"/>
        <v>0</v>
      </c>
      <c r="X171" s="163"/>
      <c r="Y171" s="164"/>
      <c r="Z171" s="163"/>
      <c r="AA171" s="163">
        <f t="shared" si="155"/>
        <v>0</v>
      </c>
    </row>
    <row r="172" spans="1:27">
      <c r="A172" s="35"/>
      <c r="B172" s="27"/>
      <c r="C172" s="336" t="s">
        <v>297</v>
      </c>
      <c r="D172" s="164" t="s">
        <v>295</v>
      </c>
      <c r="E172" s="29">
        <f t="shared" si="149"/>
        <v>1</v>
      </c>
      <c r="F172" s="32">
        <v>79.834000000000003</v>
      </c>
      <c r="G172" s="32">
        <f t="shared" si="150"/>
        <v>79.834000000000003</v>
      </c>
      <c r="H172" s="68"/>
      <c r="I172" s="161"/>
      <c r="J172" s="163"/>
      <c r="K172" s="163">
        <f t="shared" si="151"/>
        <v>0</v>
      </c>
      <c r="L172" s="163"/>
      <c r="M172" s="164"/>
      <c r="N172" s="163"/>
      <c r="O172" s="163">
        <f t="shared" si="152"/>
        <v>0</v>
      </c>
      <c r="P172" s="163"/>
      <c r="Q172" s="164">
        <v>1</v>
      </c>
      <c r="R172" s="32">
        <v>79.834000000000003</v>
      </c>
      <c r="S172" s="163">
        <f t="shared" si="153"/>
        <v>79.834000000000003</v>
      </c>
      <c r="T172" s="163"/>
      <c r="U172" s="164"/>
      <c r="V172" s="163"/>
      <c r="W172" s="163">
        <f t="shared" si="154"/>
        <v>0</v>
      </c>
      <c r="X172" s="163"/>
      <c r="Y172" s="164"/>
      <c r="Z172" s="163"/>
      <c r="AA172" s="163">
        <f t="shared" si="155"/>
        <v>0</v>
      </c>
    </row>
    <row r="173" spans="1:27">
      <c r="A173" s="35"/>
      <c r="B173" s="27"/>
      <c r="C173" s="336" t="s">
        <v>870</v>
      </c>
      <c r="D173" s="164" t="s">
        <v>295</v>
      </c>
      <c r="E173" s="29">
        <f t="shared" si="149"/>
        <v>4</v>
      </c>
      <c r="F173" s="32">
        <v>53.313000000000002</v>
      </c>
      <c r="G173" s="32">
        <f t="shared" si="150"/>
        <v>213.25200000000001</v>
      </c>
      <c r="H173" s="68"/>
      <c r="I173" s="161">
        <v>1</v>
      </c>
      <c r="J173" s="32">
        <v>53.313000000000002</v>
      </c>
      <c r="K173" s="163">
        <f t="shared" si="151"/>
        <v>53.313000000000002</v>
      </c>
      <c r="L173" s="163"/>
      <c r="M173" s="164"/>
      <c r="N173" s="163"/>
      <c r="O173" s="163">
        <f t="shared" si="152"/>
        <v>0</v>
      </c>
      <c r="P173" s="163"/>
      <c r="Q173" s="164">
        <v>3</v>
      </c>
      <c r="R173" s="32">
        <v>53.313000000000002</v>
      </c>
      <c r="S173" s="163">
        <f t="shared" si="153"/>
        <v>159.93900000000002</v>
      </c>
      <c r="T173" s="163"/>
      <c r="U173" s="164"/>
      <c r="V173" s="163"/>
      <c r="W173" s="163">
        <f t="shared" si="154"/>
        <v>0</v>
      </c>
      <c r="X173" s="163"/>
      <c r="Y173" s="164"/>
      <c r="Z173" s="163"/>
      <c r="AA173" s="163">
        <f t="shared" si="155"/>
        <v>0</v>
      </c>
    </row>
    <row r="174" spans="1:27">
      <c r="A174" s="35"/>
      <c r="B174" s="27"/>
      <c r="C174" s="336" t="s">
        <v>871</v>
      </c>
      <c r="D174" s="164" t="s">
        <v>295</v>
      </c>
      <c r="E174" s="29">
        <f t="shared" si="149"/>
        <v>1</v>
      </c>
      <c r="F174" s="32">
        <v>58.073</v>
      </c>
      <c r="G174" s="32">
        <f t="shared" si="150"/>
        <v>58.073</v>
      </c>
      <c r="H174" s="68"/>
      <c r="I174" s="161">
        <v>1</v>
      </c>
      <c r="J174" s="32">
        <v>58.073</v>
      </c>
      <c r="K174" s="163">
        <f t="shared" si="151"/>
        <v>58.073</v>
      </c>
      <c r="L174" s="163"/>
      <c r="M174" s="164"/>
      <c r="N174" s="163"/>
      <c r="O174" s="163">
        <f t="shared" si="152"/>
        <v>0</v>
      </c>
      <c r="P174" s="163"/>
      <c r="Q174" s="164"/>
      <c r="R174" s="163"/>
      <c r="S174" s="163">
        <f t="shared" si="153"/>
        <v>0</v>
      </c>
      <c r="T174" s="163"/>
      <c r="U174" s="164"/>
      <c r="V174" s="163"/>
      <c r="W174" s="163">
        <f t="shared" si="154"/>
        <v>0</v>
      </c>
      <c r="X174" s="163"/>
      <c r="Y174" s="164"/>
      <c r="Z174" s="163"/>
      <c r="AA174" s="163">
        <f t="shared" si="155"/>
        <v>0</v>
      </c>
    </row>
    <row r="175" spans="1:27">
      <c r="A175" s="35"/>
      <c r="B175" s="27"/>
      <c r="C175" s="336" t="s">
        <v>872</v>
      </c>
      <c r="D175" s="164" t="s">
        <v>295</v>
      </c>
      <c r="E175" s="29">
        <f t="shared" si="149"/>
        <v>2</v>
      </c>
      <c r="F175" s="32">
        <v>195.01499999999999</v>
      </c>
      <c r="G175" s="32">
        <f t="shared" si="150"/>
        <v>390.03</v>
      </c>
      <c r="H175" s="68"/>
      <c r="I175" s="161"/>
      <c r="J175" s="163"/>
      <c r="K175" s="163">
        <f t="shared" si="151"/>
        <v>0</v>
      </c>
      <c r="L175" s="163"/>
      <c r="M175" s="164"/>
      <c r="N175" s="163"/>
      <c r="O175" s="163">
        <f t="shared" si="152"/>
        <v>0</v>
      </c>
      <c r="P175" s="163"/>
      <c r="Q175" s="164">
        <v>2</v>
      </c>
      <c r="R175" s="32">
        <v>195.01499999999999</v>
      </c>
      <c r="S175" s="163">
        <f t="shared" si="153"/>
        <v>390.03</v>
      </c>
      <c r="T175" s="163"/>
      <c r="U175" s="164"/>
      <c r="V175" s="163"/>
      <c r="W175" s="163">
        <f t="shared" si="154"/>
        <v>0</v>
      </c>
      <c r="X175" s="163"/>
      <c r="Y175" s="164"/>
      <c r="Z175" s="163"/>
      <c r="AA175" s="163">
        <f t="shared" si="155"/>
        <v>0</v>
      </c>
    </row>
    <row r="176" spans="1:27">
      <c r="A176" s="35"/>
      <c r="B176" s="27"/>
      <c r="C176" s="336" t="s">
        <v>873</v>
      </c>
      <c r="D176" s="164" t="s">
        <v>295</v>
      </c>
      <c r="E176" s="29">
        <f t="shared" si="149"/>
        <v>16</v>
      </c>
      <c r="F176" s="32">
        <v>47.533000000000001</v>
      </c>
      <c r="G176" s="32">
        <f t="shared" si="150"/>
        <v>760.52800000000002</v>
      </c>
      <c r="H176" s="68"/>
      <c r="I176" s="161">
        <v>2</v>
      </c>
      <c r="J176" s="32">
        <v>47.533000000000001</v>
      </c>
      <c r="K176" s="163">
        <f t="shared" si="151"/>
        <v>95.066000000000003</v>
      </c>
      <c r="L176" s="163"/>
      <c r="M176" s="164"/>
      <c r="N176" s="163"/>
      <c r="O176" s="163">
        <f t="shared" si="152"/>
        <v>0</v>
      </c>
      <c r="P176" s="163"/>
      <c r="Q176" s="164">
        <v>8</v>
      </c>
      <c r="R176" s="32">
        <v>47.533000000000001</v>
      </c>
      <c r="S176" s="163">
        <f t="shared" si="153"/>
        <v>380.26400000000001</v>
      </c>
      <c r="T176" s="163"/>
      <c r="U176" s="164">
        <v>6</v>
      </c>
      <c r="V176" s="32">
        <v>47.533000000000001</v>
      </c>
      <c r="W176" s="163">
        <f t="shared" si="154"/>
        <v>285.19799999999998</v>
      </c>
      <c r="X176" s="163"/>
      <c r="Y176" s="164"/>
      <c r="Z176" s="163"/>
      <c r="AA176" s="163">
        <f t="shared" si="155"/>
        <v>0</v>
      </c>
    </row>
    <row r="177" spans="1:27">
      <c r="A177" s="35"/>
      <c r="B177" s="27"/>
      <c r="C177" s="336" t="s">
        <v>874</v>
      </c>
      <c r="D177" s="164" t="s">
        <v>295</v>
      </c>
      <c r="E177" s="29">
        <f t="shared" si="149"/>
        <v>1</v>
      </c>
      <c r="F177" s="32">
        <v>61.881</v>
      </c>
      <c r="G177" s="32">
        <f t="shared" si="150"/>
        <v>61.881</v>
      </c>
      <c r="H177" s="68"/>
      <c r="I177" s="161">
        <v>1</v>
      </c>
      <c r="J177" s="32">
        <v>61.881</v>
      </c>
      <c r="K177" s="163">
        <f t="shared" si="151"/>
        <v>61.881</v>
      </c>
      <c r="L177" s="163"/>
      <c r="M177" s="164"/>
      <c r="N177" s="163"/>
      <c r="O177" s="163">
        <f t="shared" si="152"/>
        <v>0</v>
      </c>
      <c r="P177" s="163"/>
      <c r="Q177" s="164"/>
      <c r="R177" s="163"/>
      <c r="S177" s="163">
        <f t="shared" si="153"/>
        <v>0</v>
      </c>
      <c r="T177" s="163"/>
      <c r="U177" s="164"/>
      <c r="V177" s="163"/>
      <c r="W177" s="163">
        <f t="shared" si="154"/>
        <v>0</v>
      </c>
      <c r="X177" s="163"/>
      <c r="Y177" s="164"/>
      <c r="Z177" s="163"/>
      <c r="AA177" s="163">
        <f t="shared" si="155"/>
        <v>0</v>
      </c>
    </row>
    <row r="178" spans="1:27">
      <c r="A178" s="35"/>
      <c r="B178" s="27"/>
      <c r="C178" s="336" t="s">
        <v>891</v>
      </c>
      <c r="D178" s="164" t="s">
        <v>295</v>
      </c>
      <c r="E178" s="29">
        <f t="shared" si="149"/>
        <v>62</v>
      </c>
      <c r="F178" s="32">
        <v>40.393000000000001</v>
      </c>
      <c r="G178" s="32">
        <f t="shared" si="150"/>
        <v>2504.366</v>
      </c>
      <c r="H178" s="68"/>
      <c r="I178" s="161"/>
      <c r="J178" s="163"/>
      <c r="K178" s="163">
        <f t="shared" si="151"/>
        <v>0</v>
      </c>
      <c r="L178" s="163"/>
      <c r="M178" s="164"/>
      <c r="N178" s="163"/>
      <c r="O178" s="163">
        <f t="shared" si="152"/>
        <v>0</v>
      </c>
      <c r="P178" s="163"/>
      <c r="Q178" s="164"/>
      <c r="R178" s="163"/>
      <c r="S178" s="163">
        <f t="shared" si="153"/>
        <v>0</v>
      </c>
      <c r="T178" s="163"/>
      <c r="U178" s="164">
        <v>62</v>
      </c>
      <c r="V178" s="32">
        <v>40.393000000000001</v>
      </c>
      <c r="W178" s="163">
        <f t="shared" si="154"/>
        <v>2504.366</v>
      </c>
      <c r="X178" s="163"/>
      <c r="Y178" s="164"/>
      <c r="Z178" s="163"/>
      <c r="AA178" s="163">
        <f t="shared" si="155"/>
        <v>0</v>
      </c>
    </row>
    <row r="179" spans="1:27" ht="27.6">
      <c r="A179" s="35"/>
      <c r="B179" s="27"/>
      <c r="C179" s="336" t="s">
        <v>952</v>
      </c>
      <c r="D179" s="164" t="s">
        <v>295</v>
      </c>
      <c r="E179" s="372">
        <f t="shared" si="149"/>
        <v>3</v>
      </c>
      <c r="F179" s="32">
        <v>216.178</v>
      </c>
      <c r="G179" s="32">
        <f t="shared" si="150"/>
        <v>648.53399999999999</v>
      </c>
      <c r="H179" s="68"/>
      <c r="I179" s="161"/>
      <c r="J179" s="163"/>
      <c r="K179" s="163">
        <f t="shared" si="151"/>
        <v>0</v>
      </c>
      <c r="L179" s="163"/>
      <c r="M179" s="164">
        <v>2</v>
      </c>
      <c r="N179" s="32">
        <v>216.178</v>
      </c>
      <c r="O179" s="163">
        <f t="shared" si="152"/>
        <v>432.35599999999999</v>
      </c>
      <c r="P179" s="163"/>
      <c r="Q179" s="164"/>
      <c r="R179" s="163"/>
      <c r="S179" s="163">
        <f t="shared" si="153"/>
        <v>0</v>
      </c>
      <c r="T179" s="163"/>
      <c r="U179" s="371">
        <v>1</v>
      </c>
      <c r="V179" s="32">
        <v>216.178</v>
      </c>
      <c r="W179" s="163">
        <f t="shared" si="154"/>
        <v>216.178</v>
      </c>
      <c r="X179" s="163"/>
      <c r="Y179" s="164"/>
      <c r="Z179" s="163"/>
      <c r="AA179" s="163">
        <f t="shared" si="155"/>
        <v>0</v>
      </c>
    </row>
    <row r="180" spans="1:27">
      <c r="A180" s="35"/>
      <c r="B180" s="27"/>
      <c r="C180" s="336" t="s">
        <v>892</v>
      </c>
      <c r="D180" s="164" t="s">
        <v>295</v>
      </c>
      <c r="E180" s="29">
        <f t="shared" si="149"/>
        <v>1</v>
      </c>
      <c r="F180" s="32">
        <v>54.265000000000001</v>
      </c>
      <c r="G180" s="32">
        <f t="shared" si="150"/>
        <v>54.265000000000001</v>
      </c>
      <c r="H180" s="68"/>
      <c r="I180" s="161"/>
      <c r="J180" s="163"/>
      <c r="K180" s="163">
        <f t="shared" si="151"/>
        <v>0</v>
      </c>
      <c r="L180" s="163"/>
      <c r="M180" s="164">
        <v>1</v>
      </c>
      <c r="N180" s="32">
        <v>54.265000000000001</v>
      </c>
      <c r="O180" s="163">
        <f t="shared" si="152"/>
        <v>54.265000000000001</v>
      </c>
      <c r="P180" s="163"/>
      <c r="Q180" s="164"/>
      <c r="R180" s="163"/>
      <c r="S180" s="163">
        <f t="shared" si="153"/>
        <v>0</v>
      </c>
      <c r="T180" s="163"/>
      <c r="U180" s="164"/>
      <c r="V180" s="163"/>
      <c r="W180" s="163">
        <f t="shared" si="154"/>
        <v>0</v>
      </c>
      <c r="X180" s="163"/>
      <c r="Y180" s="164"/>
      <c r="Z180" s="163"/>
      <c r="AA180" s="163">
        <f t="shared" si="155"/>
        <v>0</v>
      </c>
    </row>
    <row r="181" spans="1:27" ht="27.6">
      <c r="A181" s="35"/>
      <c r="B181" s="27"/>
      <c r="C181" s="336" t="s">
        <v>953</v>
      </c>
      <c r="D181" s="164" t="s">
        <v>295</v>
      </c>
      <c r="E181" s="29">
        <f t="shared" si="149"/>
        <v>2</v>
      </c>
      <c r="F181" s="32">
        <v>1237.048</v>
      </c>
      <c r="G181" s="32">
        <f t="shared" si="150"/>
        <v>2474.096</v>
      </c>
      <c r="H181" s="68"/>
      <c r="I181" s="161"/>
      <c r="J181" s="163"/>
      <c r="K181" s="163">
        <f t="shared" si="151"/>
        <v>0</v>
      </c>
      <c r="L181" s="163"/>
      <c r="M181" s="164">
        <v>2</v>
      </c>
      <c r="N181" s="32">
        <v>1237.048</v>
      </c>
      <c r="O181" s="163">
        <f t="shared" si="152"/>
        <v>2474.096</v>
      </c>
      <c r="P181" s="163"/>
      <c r="Q181" s="164"/>
      <c r="R181" s="163"/>
      <c r="S181" s="163">
        <f t="shared" si="153"/>
        <v>0</v>
      </c>
      <c r="T181" s="163"/>
      <c r="U181" s="164"/>
      <c r="V181" s="163"/>
      <c r="W181" s="163">
        <f t="shared" si="154"/>
        <v>0</v>
      </c>
      <c r="X181" s="163"/>
      <c r="Y181" s="164"/>
      <c r="Z181" s="163"/>
      <c r="AA181" s="163">
        <f t="shared" si="155"/>
        <v>0</v>
      </c>
    </row>
    <row r="182" spans="1:27">
      <c r="A182" s="35"/>
      <c r="B182" s="27"/>
      <c r="C182" s="336"/>
      <c r="D182" s="164"/>
      <c r="E182" s="37"/>
      <c r="F182" s="33"/>
      <c r="G182" s="34"/>
      <c r="H182" s="68"/>
      <c r="I182" s="161"/>
      <c r="J182" s="163"/>
      <c r="K182" s="163"/>
      <c r="L182" s="163"/>
      <c r="M182" s="164"/>
      <c r="N182" s="163"/>
      <c r="O182" s="163"/>
      <c r="P182" s="163"/>
      <c r="Q182" s="164"/>
      <c r="R182" s="163"/>
      <c r="S182" s="163"/>
      <c r="T182" s="163"/>
      <c r="U182" s="164"/>
      <c r="V182" s="163"/>
      <c r="W182" s="163"/>
      <c r="X182" s="163"/>
      <c r="Y182" s="164"/>
      <c r="Z182" s="163"/>
      <c r="AA182" s="163"/>
    </row>
    <row r="183" spans="1:27">
      <c r="A183" s="35"/>
      <c r="B183" s="27"/>
      <c r="C183" s="172" t="s">
        <v>315</v>
      </c>
      <c r="D183" s="164"/>
      <c r="E183" s="29"/>
      <c r="F183" s="33" t="s">
        <v>10</v>
      </c>
      <c r="G183" s="182">
        <f>K183+O183+S183+W183+AA183</f>
        <v>8880.3119999999999</v>
      </c>
      <c r="H183" s="68"/>
      <c r="I183" s="161"/>
      <c r="J183" s="33" t="s">
        <v>10</v>
      </c>
      <c r="K183" s="34">
        <f>SUM(K168:K182)</f>
        <v>591.47699999999998</v>
      </c>
      <c r="L183" s="163"/>
      <c r="M183" s="164"/>
      <c r="N183" s="163"/>
      <c r="O183" s="34">
        <f>SUM(O168:O182)</f>
        <v>2960.7170000000001</v>
      </c>
      <c r="P183" s="163"/>
      <c r="Q183" s="164"/>
      <c r="R183" s="163"/>
      <c r="S183" s="34">
        <f>SUM(S168:S182)</f>
        <v>2120.4110000000001</v>
      </c>
      <c r="T183" s="163"/>
      <c r="U183" s="164"/>
      <c r="V183" s="163"/>
      <c r="W183" s="34">
        <f>SUM(W168:W182)</f>
        <v>3207.7069999999999</v>
      </c>
      <c r="X183" s="163"/>
      <c r="Y183" s="164"/>
      <c r="Z183" s="163"/>
      <c r="AA183" s="34">
        <f>SUM(AA168:AA182)</f>
        <v>0</v>
      </c>
    </row>
    <row r="184" spans="1:27">
      <c r="A184" s="35"/>
      <c r="B184" s="27"/>
      <c r="C184" s="338"/>
      <c r="D184" s="164"/>
      <c r="E184" s="37"/>
      <c r="F184" s="33"/>
      <c r="G184" s="34"/>
      <c r="H184" s="68"/>
      <c r="I184" s="161"/>
      <c r="J184" s="163"/>
      <c r="K184" s="163"/>
      <c r="L184" s="163"/>
      <c r="M184" s="164"/>
      <c r="N184" s="163"/>
      <c r="O184" s="163"/>
      <c r="P184" s="163"/>
      <c r="Q184" s="164"/>
      <c r="R184" s="163"/>
      <c r="S184" s="163"/>
      <c r="T184" s="163"/>
      <c r="U184" s="164"/>
      <c r="V184" s="163"/>
      <c r="W184" s="163"/>
      <c r="X184" s="163"/>
      <c r="Y184" s="164"/>
      <c r="Z184" s="163"/>
      <c r="AA184" s="163"/>
    </row>
    <row r="185" spans="1:27">
      <c r="A185" s="35"/>
      <c r="B185" s="27"/>
      <c r="C185" s="169"/>
      <c r="D185" s="339"/>
      <c r="E185" s="37"/>
      <c r="F185" s="33"/>
      <c r="G185" s="34"/>
      <c r="H185" s="68"/>
      <c r="I185" s="161"/>
      <c r="J185" s="163"/>
      <c r="K185" s="165"/>
      <c r="L185" s="165"/>
      <c r="M185" s="162"/>
      <c r="N185" s="163"/>
      <c r="O185" s="165"/>
      <c r="P185" s="165"/>
      <c r="Q185" s="162"/>
      <c r="R185" s="163"/>
      <c r="S185" s="165"/>
      <c r="T185" s="165"/>
      <c r="U185" s="162"/>
      <c r="V185" s="163"/>
      <c r="W185" s="165"/>
      <c r="X185" s="165"/>
      <c r="Y185" s="162"/>
      <c r="Z185" s="163"/>
      <c r="AA185" s="165"/>
    </row>
    <row r="186" spans="1:27">
      <c r="A186" s="35"/>
      <c r="B186" s="62" t="s">
        <v>85</v>
      </c>
      <c r="C186" s="62" t="s">
        <v>298</v>
      </c>
      <c r="D186" s="181"/>
      <c r="E186" s="174"/>
      <c r="F186" s="175"/>
      <c r="G186" s="176"/>
      <c r="H186" s="176"/>
      <c r="I186" s="177"/>
      <c r="J186" s="178"/>
      <c r="K186" s="180"/>
      <c r="L186" s="180"/>
      <c r="M186" s="180"/>
      <c r="N186" s="179"/>
      <c r="O186" s="180"/>
      <c r="P186" s="180"/>
      <c r="Q186" s="180"/>
      <c r="R186" s="179"/>
      <c r="S186" s="180"/>
      <c r="T186" s="180"/>
      <c r="U186" s="180"/>
      <c r="V186" s="179"/>
      <c r="W186" s="180"/>
      <c r="X186" s="180"/>
      <c r="Y186" s="180"/>
      <c r="Z186" s="179"/>
      <c r="AA186" s="180"/>
    </row>
    <row r="187" spans="1:27">
      <c r="A187" s="35"/>
      <c r="B187" s="27"/>
      <c r="C187" s="167" t="s">
        <v>299</v>
      </c>
      <c r="D187" s="164"/>
      <c r="E187" s="37"/>
      <c r="F187" s="33"/>
      <c r="G187" s="34"/>
      <c r="H187" s="68"/>
      <c r="I187" s="161"/>
      <c r="J187" s="163"/>
      <c r="K187" s="163"/>
      <c r="L187" s="163"/>
      <c r="M187" s="164"/>
      <c r="N187" s="163"/>
      <c r="O187" s="163"/>
      <c r="P187" s="163"/>
      <c r="Q187" s="164"/>
      <c r="R187" s="163"/>
      <c r="S187" s="163"/>
      <c r="T187" s="163"/>
      <c r="U187" s="164"/>
      <c r="V187" s="163"/>
      <c r="W187" s="163"/>
      <c r="X187" s="163"/>
      <c r="Y187" s="164"/>
      <c r="Z187" s="163"/>
      <c r="AA187" s="163"/>
    </row>
    <row r="188" spans="1:27" ht="41.4">
      <c r="A188" s="35"/>
      <c r="B188" s="27"/>
      <c r="C188" s="336" t="s">
        <v>954</v>
      </c>
      <c r="D188" s="164" t="s">
        <v>69</v>
      </c>
      <c r="E188" s="372">
        <f t="shared" ref="E188:E207" si="156">I188+M188+Q188+U188+Y188</f>
        <v>65</v>
      </c>
      <c r="F188" s="32">
        <v>122.36</v>
      </c>
      <c r="G188" s="32">
        <f t="shared" ref="G188:G200" si="157">K188+O188+S188+W188+AA188</f>
        <v>7953.4</v>
      </c>
      <c r="H188" s="68"/>
      <c r="I188" s="161">
        <v>26</v>
      </c>
      <c r="J188" s="32">
        <v>122.36</v>
      </c>
      <c r="K188" s="163">
        <f t="shared" ref="K188:K197" si="158">J188*I188</f>
        <v>3181.36</v>
      </c>
      <c r="L188" s="163"/>
      <c r="M188" s="164"/>
      <c r="N188" s="163"/>
      <c r="O188" s="163">
        <f t="shared" ref="O188:O197" si="159">N188*M188</f>
        <v>0</v>
      </c>
      <c r="P188" s="163"/>
      <c r="Q188" s="371">
        <f>25-6+5</f>
        <v>24</v>
      </c>
      <c r="R188" s="32">
        <v>122.36</v>
      </c>
      <c r="S188" s="163">
        <f t="shared" ref="S188:S197" si="160">R188*Q188</f>
        <v>2936.64</v>
      </c>
      <c r="T188" s="163"/>
      <c r="U188" s="164">
        <v>14</v>
      </c>
      <c r="V188" s="32">
        <v>122.36</v>
      </c>
      <c r="W188" s="163">
        <f t="shared" ref="W188:W197" si="161">V188*U188</f>
        <v>1713.04</v>
      </c>
      <c r="X188" s="163"/>
      <c r="Y188" s="164">
        <v>1</v>
      </c>
      <c r="Z188" s="32">
        <v>122.36</v>
      </c>
      <c r="AA188" s="163">
        <f t="shared" ref="AA188:AA200" si="162">Z188*Y188</f>
        <v>122.36</v>
      </c>
    </row>
    <row r="189" spans="1:27" ht="27.6">
      <c r="A189" s="35"/>
      <c r="B189" s="27"/>
      <c r="C189" s="336" t="s">
        <v>955</v>
      </c>
      <c r="D189" s="164" t="s">
        <v>69</v>
      </c>
      <c r="E189" s="372">
        <f t="shared" si="156"/>
        <v>102</v>
      </c>
      <c r="F189" s="32">
        <v>108.76</v>
      </c>
      <c r="G189" s="32">
        <f t="shared" si="157"/>
        <v>11093.52</v>
      </c>
      <c r="H189" s="68"/>
      <c r="I189" s="161">
        <v>16</v>
      </c>
      <c r="J189" s="32">
        <v>108.76</v>
      </c>
      <c r="K189" s="163">
        <f t="shared" si="158"/>
        <v>1740.16</v>
      </c>
      <c r="L189" s="163"/>
      <c r="M189" s="164"/>
      <c r="N189" s="163"/>
      <c r="O189" s="163">
        <f t="shared" si="159"/>
        <v>0</v>
      </c>
      <c r="P189" s="163"/>
      <c r="Q189" s="164">
        <v>25</v>
      </c>
      <c r="R189" s="32">
        <v>108.76</v>
      </c>
      <c r="S189" s="163">
        <f t="shared" si="160"/>
        <v>2719</v>
      </c>
      <c r="T189" s="163"/>
      <c r="U189" s="371">
        <f>46+10</f>
        <v>56</v>
      </c>
      <c r="V189" s="32">
        <v>108.76</v>
      </c>
      <c r="W189" s="163">
        <f t="shared" si="161"/>
        <v>6090.56</v>
      </c>
      <c r="X189" s="163"/>
      <c r="Y189" s="164">
        <v>5</v>
      </c>
      <c r="Z189" s="32">
        <v>108.76</v>
      </c>
      <c r="AA189" s="163">
        <f t="shared" si="162"/>
        <v>543.80000000000007</v>
      </c>
    </row>
    <row r="190" spans="1:27">
      <c r="A190" s="35"/>
      <c r="B190" s="27"/>
      <c r="C190" s="336" t="s">
        <v>300</v>
      </c>
      <c r="D190" s="164" t="s">
        <v>69</v>
      </c>
      <c r="E190" s="29">
        <f t="shared" si="156"/>
        <v>27</v>
      </c>
      <c r="F190" s="32">
        <v>87</v>
      </c>
      <c r="G190" s="32">
        <f t="shared" si="157"/>
        <v>2349</v>
      </c>
      <c r="H190" s="68"/>
      <c r="I190" s="161">
        <v>17</v>
      </c>
      <c r="J190" s="32">
        <v>87</v>
      </c>
      <c r="K190" s="163">
        <f t="shared" si="158"/>
        <v>1479</v>
      </c>
      <c r="L190" s="163"/>
      <c r="M190" s="164"/>
      <c r="N190" s="163"/>
      <c r="O190" s="163">
        <f t="shared" si="159"/>
        <v>0</v>
      </c>
      <c r="P190" s="163"/>
      <c r="Q190" s="164">
        <v>10</v>
      </c>
      <c r="R190" s="32">
        <v>87</v>
      </c>
      <c r="S190" s="163">
        <f t="shared" si="160"/>
        <v>870</v>
      </c>
      <c r="T190" s="163"/>
      <c r="U190" s="164"/>
      <c r="V190" s="163"/>
      <c r="W190" s="163">
        <f t="shared" si="161"/>
        <v>0</v>
      </c>
      <c r="X190" s="163"/>
      <c r="Y190" s="164"/>
      <c r="Z190" s="163"/>
      <c r="AA190" s="163">
        <f t="shared" si="162"/>
        <v>0</v>
      </c>
    </row>
    <row r="191" spans="1:27">
      <c r="A191" s="35"/>
      <c r="B191" s="27"/>
      <c r="C191" s="336" t="s">
        <v>301</v>
      </c>
      <c r="D191" s="164" t="s">
        <v>69</v>
      </c>
      <c r="E191" s="29">
        <f t="shared" si="156"/>
        <v>26</v>
      </c>
      <c r="F191" s="32">
        <v>107.4</v>
      </c>
      <c r="G191" s="32">
        <f t="shared" si="157"/>
        <v>2792.4</v>
      </c>
      <c r="H191" s="68"/>
      <c r="I191" s="161">
        <v>7</v>
      </c>
      <c r="J191" s="32">
        <v>107.4</v>
      </c>
      <c r="K191" s="163">
        <f t="shared" si="158"/>
        <v>751.80000000000007</v>
      </c>
      <c r="L191" s="163"/>
      <c r="M191" s="164"/>
      <c r="N191" s="163"/>
      <c r="O191" s="163">
        <f t="shared" si="159"/>
        <v>0</v>
      </c>
      <c r="P191" s="163"/>
      <c r="Q191" s="164">
        <v>8</v>
      </c>
      <c r="R191" s="32">
        <v>107.4</v>
      </c>
      <c r="S191" s="163">
        <f t="shared" si="160"/>
        <v>859.2</v>
      </c>
      <c r="T191" s="163"/>
      <c r="U191" s="164">
        <v>9</v>
      </c>
      <c r="V191" s="32">
        <v>107.4</v>
      </c>
      <c r="W191" s="163">
        <f t="shared" si="161"/>
        <v>966.6</v>
      </c>
      <c r="X191" s="163"/>
      <c r="Y191" s="164">
        <v>2</v>
      </c>
      <c r="Z191" s="32">
        <v>107.4</v>
      </c>
      <c r="AA191" s="163">
        <f t="shared" si="162"/>
        <v>214.8</v>
      </c>
    </row>
    <row r="192" spans="1:27">
      <c r="A192" s="35"/>
      <c r="B192" s="27"/>
      <c r="C192" s="336" t="s">
        <v>302</v>
      </c>
      <c r="D192" s="164" t="s">
        <v>69</v>
      </c>
      <c r="E192" s="29">
        <f t="shared" si="156"/>
        <v>90</v>
      </c>
      <c r="F192" s="32">
        <v>87</v>
      </c>
      <c r="G192" s="32">
        <f t="shared" si="157"/>
        <v>7830</v>
      </c>
      <c r="H192" s="68"/>
      <c r="I192" s="161">
        <v>24</v>
      </c>
      <c r="J192" s="32">
        <v>87</v>
      </c>
      <c r="K192" s="163">
        <f t="shared" si="158"/>
        <v>2088</v>
      </c>
      <c r="L192" s="163"/>
      <c r="M192" s="164"/>
      <c r="N192" s="163"/>
      <c r="O192" s="163">
        <f t="shared" si="159"/>
        <v>0</v>
      </c>
      <c r="P192" s="163"/>
      <c r="Q192" s="164">
        <v>27</v>
      </c>
      <c r="R192" s="32">
        <v>87</v>
      </c>
      <c r="S192" s="163">
        <f t="shared" si="160"/>
        <v>2349</v>
      </c>
      <c r="T192" s="163"/>
      <c r="U192" s="164">
        <v>35</v>
      </c>
      <c r="V192" s="32">
        <v>87</v>
      </c>
      <c r="W192" s="163">
        <f t="shared" si="161"/>
        <v>3045</v>
      </c>
      <c r="X192" s="163"/>
      <c r="Y192" s="164">
        <v>4</v>
      </c>
      <c r="Z192" s="32">
        <v>87</v>
      </c>
      <c r="AA192" s="163">
        <f t="shared" si="162"/>
        <v>348</v>
      </c>
    </row>
    <row r="193" spans="1:27" ht="27.6">
      <c r="A193" s="35"/>
      <c r="B193" s="27"/>
      <c r="C193" s="336" t="s">
        <v>956</v>
      </c>
      <c r="D193" s="164" t="s">
        <v>69</v>
      </c>
      <c r="E193" s="372">
        <f t="shared" si="156"/>
        <v>8</v>
      </c>
      <c r="F193" s="32">
        <v>156.37</v>
      </c>
      <c r="G193" s="32">
        <f t="shared" si="157"/>
        <v>1250.96</v>
      </c>
      <c r="H193" s="68"/>
      <c r="I193" s="161"/>
      <c r="J193" s="163"/>
      <c r="K193" s="163">
        <f t="shared" si="158"/>
        <v>0</v>
      </c>
      <c r="L193" s="163"/>
      <c r="M193" s="164"/>
      <c r="N193" s="163"/>
      <c r="O193" s="163">
        <f t="shared" si="159"/>
        <v>0</v>
      </c>
      <c r="P193" s="163"/>
      <c r="Q193" s="164"/>
      <c r="R193" s="163"/>
      <c r="S193" s="163">
        <f t="shared" si="160"/>
        <v>0</v>
      </c>
      <c r="T193" s="163"/>
      <c r="U193" s="371">
        <v>8</v>
      </c>
      <c r="V193" s="32">
        <v>156.37</v>
      </c>
      <c r="W193" s="163">
        <f t="shared" si="161"/>
        <v>1250.96</v>
      </c>
      <c r="X193" s="163"/>
      <c r="Y193" s="363"/>
      <c r="Z193" s="163"/>
      <c r="AA193" s="163">
        <f t="shared" si="162"/>
        <v>0</v>
      </c>
    </row>
    <row r="194" spans="1:27">
      <c r="A194" s="35"/>
      <c r="B194" s="27"/>
      <c r="C194" s="336" t="s">
        <v>303</v>
      </c>
      <c r="D194" s="164" t="s">
        <v>69</v>
      </c>
      <c r="E194" s="29">
        <f t="shared" si="156"/>
        <v>6</v>
      </c>
      <c r="F194" s="32">
        <v>100.6</v>
      </c>
      <c r="G194" s="32">
        <f t="shared" si="157"/>
        <v>603.59999999999991</v>
      </c>
      <c r="H194" s="68"/>
      <c r="I194" s="161"/>
      <c r="J194" s="163"/>
      <c r="K194" s="163">
        <f t="shared" si="158"/>
        <v>0</v>
      </c>
      <c r="L194" s="163"/>
      <c r="M194" s="164">
        <v>6</v>
      </c>
      <c r="N194" s="163">
        <v>100.6</v>
      </c>
      <c r="O194" s="163">
        <f t="shared" si="159"/>
        <v>603.59999999999991</v>
      </c>
      <c r="P194" s="163"/>
      <c r="Q194" s="164"/>
      <c r="R194" s="163"/>
      <c r="S194" s="163">
        <f t="shared" si="160"/>
        <v>0</v>
      </c>
      <c r="T194" s="163"/>
      <c r="U194" s="164"/>
      <c r="V194" s="163"/>
      <c r="W194" s="163">
        <f t="shared" si="161"/>
        <v>0</v>
      </c>
      <c r="X194" s="163"/>
      <c r="Y194" s="164"/>
      <c r="Z194" s="163"/>
      <c r="AA194" s="163">
        <f t="shared" si="162"/>
        <v>0</v>
      </c>
    </row>
    <row r="195" spans="1:27" ht="41.4">
      <c r="A195" s="35"/>
      <c r="B195" s="27"/>
      <c r="C195" s="336" t="s">
        <v>957</v>
      </c>
      <c r="D195" s="164" t="s">
        <v>69</v>
      </c>
      <c r="E195" s="372">
        <f>I195+M195+Q195+U195+Y195</f>
        <v>10</v>
      </c>
      <c r="F195" s="32">
        <v>324.92</v>
      </c>
      <c r="G195" s="32">
        <f t="shared" si="157"/>
        <v>3249.2000000000003</v>
      </c>
      <c r="H195" s="68"/>
      <c r="I195" s="161"/>
      <c r="J195" s="163"/>
      <c r="K195" s="163">
        <f t="shared" si="158"/>
        <v>0</v>
      </c>
      <c r="L195" s="163"/>
      <c r="M195" s="164"/>
      <c r="N195" s="163"/>
      <c r="O195" s="163">
        <f t="shared" si="159"/>
        <v>0</v>
      </c>
      <c r="P195" s="163"/>
      <c r="Q195" s="371">
        <f>4+6</f>
        <v>10</v>
      </c>
      <c r="R195" s="32">
        <v>324.92</v>
      </c>
      <c r="S195" s="163">
        <f t="shared" si="160"/>
        <v>3249.2000000000003</v>
      </c>
      <c r="T195" s="163"/>
      <c r="U195" s="164"/>
      <c r="V195" s="163"/>
      <c r="W195" s="163">
        <f t="shared" si="161"/>
        <v>0</v>
      </c>
      <c r="X195" s="163"/>
      <c r="Y195" s="164"/>
      <c r="Z195" s="163"/>
      <c r="AA195" s="163">
        <f t="shared" si="162"/>
        <v>0</v>
      </c>
    </row>
    <row r="196" spans="1:27">
      <c r="A196" s="35"/>
      <c r="B196" s="27"/>
      <c r="C196" s="336" t="s">
        <v>875</v>
      </c>
      <c r="D196" s="164" t="s">
        <v>69</v>
      </c>
      <c r="E196" s="29">
        <f t="shared" si="156"/>
        <v>6</v>
      </c>
      <c r="F196" s="32">
        <v>634.34</v>
      </c>
      <c r="G196" s="32">
        <f t="shared" si="157"/>
        <v>3806.04</v>
      </c>
      <c r="H196" s="68"/>
      <c r="I196" s="161">
        <v>6</v>
      </c>
      <c r="J196" s="32">
        <v>634.34</v>
      </c>
      <c r="K196" s="163">
        <f t="shared" si="158"/>
        <v>3806.04</v>
      </c>
      <c r="L196" s="163"/>
      <c r="M196" s="164"/>
      <c r="N196" s="163"/>
      <c r="O196" s="163">
        <f t="shared" si="159"/>
        <v>0</v>
      </c>
      <c r="P196" s="163"/>
      <c r="Q196" s="363"/>
      <c r="R196" s="163"/>
      <c r="S196" s="163">
        <f t="shared" si="160"/>
        <v>0</v>
      </c>
      <c r="T196" s="163"/>
      <c r="U196" s="164"/>
      <c r="V196" s="163"/>
      <c r="W196" s="163">
        <f t="shared" si="161"/>
        <v>0</v>
      </c>
      <c r="X196" s="163"/>
      <c r="Y196" s="164"/>
      <c r="Z196" s="163"/>
      <c r="AA196" s="163">
        <f t="shared" si="162"/>
        <v>0</v>
      </c>
    </row>
    <row r="197" spans="1:27">
      <c r="A197" s="35"/>
      <c r="B197" s="27"/>
      <c r="C197" s="336" t="s">
        <v>958</v>
      </c>
      <c r="D197" s="164" t="s">
        <v>69</v>
      </c>
      <c r="E197" s="29">
        <f t="shared" si="156"/>
        <v>8</v>
      </c>
      <c r="F197" s="32">
        <v>634.34</v>
      </c>
      <c r="G197" s="32">
        <f t="shared" si="157"/>
        <v>5074.72</v>
      </c>
      <c r="H197" s="68"/>
      <c r="I197" s="161">
        <v>8</v>
      </c>
      <c r="J197" s="32">
        <v>634.34</v>
      </c>
      <c r="K197" s="163">
        <f t="shared" si="158"/>
        <v>5074.72</v>
      </c>
      <c r="L197" s="163"/>
      <c r="M197" s="164"/>
      <c r="N197" s="163"/>
      <c r="O197" s="163">
        <f t="shared" si="159"/>
        <v>0</v>
      </c>
      <c r="P197" s="163"/>
      <c r="Q197" s="363"/>
      <c r="R197" s="163"/>
      <c r="S197" s="163">
        <f t="shared" si="160"/>
        <v>0</v>
      </c>
      <c r="T197" s="163"/>
      <c r="U197" s="164"/>
      <c r="V197" s="163"/>
      <c r="W197" s="163">
        <f t="shared" si="161"/>
        <v>0</v>
      </c>
      <c r="X197" s="163"/>
      <c r="Y197" s="164"/>
      <c r="Z197" s="163"/>
      <c r="AA197" s="163">
        <f t="shared" si="162"/>
        <v>0</v>
      </c>
    </row>
    <row r="198" spans="1:27">
      <c r="A198" s="35"/>
      <c r="B198" s="27"/>
      <c r="C198" s="336" t="s">
        <v>959</v>
      </c>
      <c r="D198" s="164" t="s">
        <v>249</v>
      </c>
      <c r="E198" s="29"/>
      <c r="F198" s="32"/>
      <c r="G198" s="32">
        <f t="shared" si="157"/>
        <v>0</v>
      </c>
      <c r="H198" s="68"/>
      <c r="I198" s="161"/>
      <c r="J198" s="163"/>
      <c r="K198" s="163"/>
      <c r="L198" s="163"/>
      <c r="M198" s="164"/>
      <c r="N198" s="163"/>
      <c r="O198" s="163"/>
      <c r="P198" s="163"/>
      <c r="Q198" s="164"/>
      <c r="R198" s="163"/>
      <c r="S198" s="163"/>
      <c r="T198" s="163"/>
      <c r="U198" s="164"/>
      <c r="V198" s="163"/>
      <c r="W198" s="163"/>
      <c r="X198" s="163"/>
      <c r="Y198" s="164"/>
      <c r="Z198" s="163"/>
      <c r="AA198" s="163">
        <f t="shared" si="162"/>
        <v>0</v>
      </c>
    </row>
    <row r="199" spans="1:27">
      <c r="A199" s="35"/>
      <c r="B199" s="27"/>
      <c r="C199" s="336" t="s">
        <v>960</v>
      </c>
      <c r="D199" s="164" t="s">
        <v>249</v>
      </c>
      <c r="E199" s="29"/>
      <c r="F199" s="32"/>
      <c r="G199" s="32">
        <f t="shared" si="157"/>
        <v>0</v>
      </c>
      <c r="H199" s="68"/>
      <c r="I199" s="161"/>
      <c r="J199" s="163"/>
      <c r="K199" s="163"/>
      <c r="L199" s="163"/>
      <c r="M199" s="164"/>
      <c r="N199" s="163"/>
      <c r="O199" s="163"/>
      <c r="P199" s="163"/>
      <c r="Q199" s="164"/>
      <c r="R199" s="163"/>
      <c r="S199" s="163"/>
      <c r="T199" s="163"/>
      <c r="U199" s="164"/>
      <c r="V199" s="163"/>
      <c r="W199" s="163"/>
      <c r="X199" s="163"/>
      <c r="Y199" s="164"/>
      <c r="Z199" s="163"/>
      <c r="AA199" s="163">
        <f t="shared" si="162"/>
        <v>0</v>
      </c>
    </row>
    <row r="200" spans="1:27" ht="27.6">
      <c r="A200" s="35"/>
      <c r="B200" s="27"/>
      <c r="C200" s="388" t="s">
        <v>961</v>
      </c>
      <c r="D200" s="164" t="s">
        <v>69</v>
      </c>
      <c r="E200" s="372">
        <f t="shared" si="156"/>
        <v>3</v>
      </c>
      <c r="F200" s="367">
        <v>329.23</v>
      </c>
      <c r="G200" s="367">
        <f t="shared" si="157"/>
        <v>987.69</v>
      </c>
      <c r="H200" s="68"/>
      <c r="I200" s="161"/>
      <c r="J200" s="163"/>
      <c r="K200" s="163"/>
      <c r="L200" s="163"/>
      <c r="M200" s="164"/>
      <c r="N200" s="163"/>
      <c r="O200" s="163"/>
      <c r="P200" s="163"/>
      <c r="Q200" s="164"/>
      <c r="R200" s="163"/>
      <c r="S200" s="163"/>
      <c r="T200" s="163"/>
      <c r="U200" s="164"/>
      <c r="V200" s="163"/>
      <c r="W200" s="163"/>
      <c r="X200" s="163"/>
      <c r="Y200" s="371">
        <v>3</v>
      </c>
      <c r="Z200" s="367">
        <v>329.23</v>
      </c>
      <c r="AA200" s="373">
        <f t="shared" si="162"/>
        <v>987.69</v>
      </c>
    </row>
    <row r="201" spans="1:27">
      <c r="A201" s="35"/>
      <c r="B201" s="27"/>
      <c r="C201" s="336"/>
      <c r="D201" s="164"/>
      <c r="E201" s="29"/>
      <c r="F201" s="33"/>
      <c r="G201" s="34"/>
      <c r="H201" s="68"/>
      <c r="I201" s="161"/>
      <c r="J201" s="163"/>
      <c r="K201" s="163"/>
      <c r="L201" s="163"/>
      <c r="M201" s="164"/>
      <c r="N201" s="163"/>
      <c r="O201" s="163"/>
      <c r="P201" s="163"/>
      <c r="Q201" s="164"/>
      <c r="R201" s="163"/>
      <c r="S201" s="163"/>
      <c r="T201" s="163"/>
      <c r="U201" s="164"/>
      <c r="V201" s="163"/>
      <c r="W201" s="163"/>
      <c r="X201" s="163"/>
      <c r="Y201" s="164"/>
      <c r="Z201" s="163"/>
      <c r="AA201" s="163"/>
    </row>
    <row r="202" spans="1:27">
      <c r="A202" s="35"/>
      <c r="B202" s="27"/>
      <c r="C202" s="167" t="s">
        <v>304</v>
      </c>
      <c r="D202" s="164"/>
      <c r="E202" s="29"/>
      <c r="F202" s="33"/>
      <c r="G202" s="34"/>
      <c r="H202" s="68"/>
      <c r="I202" s="161"/>
      <c r="J202" s="163"/>
      <c r="K202" s="163"/>
      <c r="L202" s="163"/>
      <c r="M202" s="164"/>
      <c r="N202" s="163"/>
      <c r="O202" s="163"/>
      <c r="P202" s="163"/>
      <c r="Q202" s="164"/>
      <c r="R202" s="163"/>
      <c r="S202" s="163"/>
      <c r="T202" s="163"/>
      <c r="U202" s="164"/>
      <c r="V202" s="163"/>
      <c r="W202" s="163"/>
      <c r="X202" s="163"/>
      <c r="Y202" s="164"/>
      <c r="Z202" s="163"/>
      <c r="AA202" s="163"/>
    </row>
    <row r="203" spans="1:27" ht="27.6">
      <c r="A203" s="35"/>
      <c r="B203" s="27"/>
      <c r="C203" s="336" t="s">
        <v>962</v>
      </c>
      <c r="D203" s="371" t="s">
        <v>920</v>
      </c>
      <c r="E203" s="372">
        <f t="shared" si="156"/>
        <v>0</v>
      </c>
      <c r="F203" s="33"/>
      <c r="G203" s="32">
        <f t="shared" ref="G203:G207" si="163">K203+O203+S203+W203+AA203</f>
        <v>0</v>
      </c>
      <c r="H203" s="68"/>
      <c r="I203" s="161">
        <v>0</v>
      </c>
      <c r="J203" s="163"/>
      <c r="K203" s="163">
        <f t="shared" ref="K203:K207" si="164">J203*I203</f>
        <v>0</v>
      </c>
      <c r="L203" s="163"/>
      <c r="M203" s="164"/>
      <c r="N203" s="163"/>
      <c r="O203" s="163">
        <f t="shared" ref="O203:O207" si="165">N203*M203</f>
        <v>0</v>
      </c>
      <c r="P203" s="163"/>
      <c r="Q203" s="164">
        <v>0</v>
      </c>
      <c r="R203" s="163"/>
      <c r="S203" s="163">
        <f t="shared" ref="S203:S207" si="166">R203*Q203</f>
        <v>0</v>
      </c>
      <c r="T203" s="163"/>
      <c r="U203" s="164">
        <v>0</v>
      </c>
      <c r="V203" s="163"/>
      <c r="W203" s="163">
        <f t="shared" ref="W203:W206" si="167">V203*U203</f>
        <v>0</v>
      </c>
      <c r="X203" s="163"/>
      <c r="Y203" s="164"/>
      <c r="Z203" s="163"/>
      <c r="AA203" s="163">
        <f t="shared" ref="AA203:AA207" si="168">Z203*Y203</f>
        <v>0</v>
      </c>
    </row>
    <row r="204" spans="1:27">
      <c r="A204" s="35"/>
      <c r="B204" s="27"/>
      <c r="C204" s="336" t="s">
        <v>876</v>
      </c>
      <c r="D204" s="164" t="s">
        <v>69</v>
      </c>
      <c r="E204" s="29">
        <f t="shared" si="156"/>
        <v>10</v>
      </c>
      <c r="F204" s="32">
        <v>602.44000000000005</v>
      </c>
      <c r="G204" s="32">
        <f t="shared" si="163"/>
        <v>6024.4000000000005</v>
      </c>
      <c r="H204" s="68"/>
      <c r="I204" s="161"/>
      <c r="J204" s="163"/>
      <c r="K204" s="163">
        <f t="shared" si="164"/>
        <v>0</v>
      </c>
      <c r="L204" s="163"/>
      <c r="M204" s="164"/>
      <c r="N204" s="163"/>
      <c r="O204" s="163">
        <f t="shared" si="165"/>
        <v>0</v>
      </c>
      <c r="P204" s="163"/>
      <c r="Q204" s="164"/>
      <c r="R204" s="163"/>
      <c r="S204" s="163">
        <f t="shared" si="166"/>
        <v>0</v>
      </c>
      <c r="T204" s="163"/>
      <c r="U204" s="164"/>
      <c r="V204" s="163"/>
      <c r="W204" s="163">
        <f t="shared" si="167"/>
        <v>0</v>
      </c>
      <c r="X204" s="163"/>
      <c r="Y204" s="164">
        <v>10</v>
      </c>
      <c r="Z204" s="32">
        <v>602.44000000000005</v>
      </c>
      <c r="AA204" s="163">
        <f t="shared" si="168"/>
        <v>6024.4000000000005</v>
      </c>
    </row>
    <row r="205" spans="1:27">
      <c r="A205" s="35"/>
      <c r="B205" s="27"/>
      <c r="C205" s="336" t="s">
        <v>877</v>
      </c>
      <c r="D205" s="164" t="s">
        <v>69</v>
      </c>
      <c r="E205" s="29">
        <f t="shared" si="156"/>
        <v>5</v>
      </c>
      <c r="F205" s="32">
        <v>242.71</v>
      </c>
      <c r="G205" s="32">
        <f t="shared" si="163"/>
        <v>1213.55</v>
      </c>
      <c r="H205" s="68"/>
      <c r="I205" s="161">
        <v>5</v>
      </c>
      <c r="J205" s="32">
        <v>242.71</v>
      </c>
      <c r="K205" s="163">
        <f t="shared" si="164"/>
        <v>1213.55</v>
      </c>
      <c r="L205" s="163"/>
      <c r="M205" s="164"/>
      <c r="N205" s="163"/>
      <c r="O205" s="163">
        <f t="shared" si="165"/>
        <v>0</v>
      </c>
      <c r="P205" s="163"/>
      <c r="Q205" s="164"/>
      <c r="R205" s="163"/>
      <c r="S205" s="163">
        <f t="shared" si="166"/>
        <v>0</v>
      </c>
      <c r="T205" s="163"/>
      <c r="U205" s="164"/>
      <c r="V205" s="163"/>
      <c r="W205" s="163">
        <f t="shared" si="167"/>
        <v>0</v>
      </c>
      <c r="X205" s="163"/>
      <c r="Y205" s="164"/>
      <c r="Z205" s="163"/>
      <c r="AA205" s="163">
        <f t="shared" si="168"/>
        <v>0</v>
      </c>
    </row>
    <row r="206" spans="1:27">
      <c r="A206" s="35"/>
      <c r="B206" s="27"/>
      <c r="C206" s="336" t="s">
        <v>878</v>
      </c>
      <c r="D206" s="164" t="s">
        <v>69</v>
      </c>
      <c r="E206" s="29">
        <f t="shared" si="156"/>
        <v>4</v>
      </c>
      <c r="F206" s="32">
        <v>261.32</v>
      </c>
      <c r="G206" s="32">
        <f t="shared" si="163"/>
        <v>1045.28</v>
      </c>
      <c r="H206" s="68"/>
      <c r="I206" s="161">
        <v>2</v>
      </c>
      <c r="J206" s="32">
        <v>261.32</v>
      </c>
      <c r="K206" s="163">
        <f t="shared" si="164"/>
        <v>522.64</v>
      </c>
      <c r="L206" s="163"/>
      <c r="M206" s="164"/>
      <c r="N206" s="163"/>
      <c r="O206" s="163">
        <f t="shared" si="165"/>
        <v>0</v>
      </c>
      <c r="P206" s="163"/>
      <c r="Q206" s="164"/>
      <c r="R206" s="163"/>
      <c r="S206" s="163">
        <f t="shared" si="166"/>
        <v>0</v>
      </c>
      <c r="T206" s="163"/>
      <c r="U206" s="164">
        <v>2</v>
      </c>
      <c r="V206" s="32">
        <v>261.32</v>
      </c>
      <c r="W206" s="163">
        <f t="shared" si="167"/>
        <v>522.64</v>
      </c>
      <c r="X206" s="163"/>
      <c r="Y206" s="164"/>
      <c r="Z206" s="163"/>
      <c r="AA206" s="163">
        <f t="shared" si="168"/>
        <v>0</v>
      </c>
    </row>
    <row r="207" spans="1:27" ht="27.6">
      <c r="A207" s="35"/>
      <c r="B207" s="27"/>
      <c r="C207" s="336" t="s">
        <v>963</v>
      </c>
      <c r="D207" s="164" t="s">
        <v>295</v>
      </c>
      <c r="E207" s="29">
        <f t="shared" si="156"/>
        <v>2</v>
      </c>
      <c r="F207" s="32">
        <v>178.91</v>
      </c>
      <c r="G207" s="32">
        <f t="shared" si="163"/>
        <v>357.82</v>
      </c>
      <c r="H207" s="68"/>
      <c r="I207" s="161">
        <v>2</v>
      </c>
      <c r="J207" s="32">
        <v>178.91</v>
      </c>
      <c r="K207" s="163">
        <f t="shared" si="164"/>
        <v>357.82</v>
      </c>
      <c r="L207" s="163"/>
      <c r="M207" s="164"/>
      <c r="N207" s="163"/>
      <c r="O207" s="163">
        <f t="shared" si="165"/>
        <v>0</v>
      </c>
      <c r="P207" s="163"/>
      <c r="Q207" s="164"/>
      <c r="R207" s="163"/>
      <c r="S207" s="163">
        <f t="shared" si="166"/>
        <v>0</v>
      </c>
      <c r="T207" s="163"/>
      <c r="U207" s="164"/>
      <c r="V207" s="163"/>
      <c r="W207" s="163"/>
      <c r="X207" s="163"/>
      <c r="Y207" s="164"/>
      <c r="Z207" s="163"/>
      <c r="AA207" s="163">
        <f t="shared" si="168"/>
        <v>0</v>
      </c>
    </row>
    <row r="208" spans="1:27">
      <c r="A208" s="35"/>
      <c r="B208" s="27"/>
      <c r="C208" s="336"/>
      <c r="D208" s="164"/>
      <c r="E208" s="37"/>
      <c r="F208" s="33"/>
      <c r="G208" s="34"/>
      <c r="H208" s="68"/>
      <c r="I208" s="161"/>
      <c r="J208" s="163"/>
      <c r="K208" s="163"/>
      <c r="L208" s="163"/>
      <c r="M208" s="164"/>
      <c r="N208" s="163"/>
      <c r="O208" s="163"/>
      <c r="P208" s="163"/>
      <c r="Q208" s="164"/>
      <c r="R208" s="163"/>
      <c r="S208" s="163"/>
      <c r="T208" s="163"/>
      <c r="U208" s="164"/>
      <c r="V208" s="163"/>
      <c r="W208" s="163"/>
      <c r="X208" s="163"/>
      <c r="Y208" s="164"/>
      <c r="Z208" s="163"/>
      <c r="AA208" s="163"/>
    </row>
    <row r="209" spans="1:27">
      <c r="A209" s="35"/>
      <c r="B209" s="27"/>
      <c r="C209" s="335" t="s">
        <v>305</v>
      </c>
      <c r="D209" s="164"/>
      <c r="E209" s="37"/>
      <c r="F209" s="33"/>
      <c r="G209" s="34"/>
      <c r="H209" s="68"/>
      <c r="I209" s="161"/>
      <c r="J209" s="163"/>
      <c r="K209" s="163"/>
      <c r="L209" s="163"/>
      <c r="M209" s="164"/>
      <c r="N209" s="163"/>
      <c r="O209" s="163"/>
      <c r="P209" s="163"/>
      <c r="Q209" s="164"/>
      <c r="R209" s="163"/>
      <c r="S209" s="163"/>
      <c r="T209" s="163"/>
      <c r="U209" s="164"/>
      <c r="V209" s="163"/>
      <c r="W209" s="163"/>
      <c r="X209" s="163"/>
      <c r="Y209" s="164"/>
      <c r="Z209" s="163"/>
      <c r="AA209" s="163"/>
    </row>
    <row r="210" spans="1:27">
      <c r="A210" s="35"/>
      <c r="B210" s="27"/>
      <c r="C210" s="168" t="s">
        <v>306</v>
      </c>
      <c r="D210" s="164" t="s">
        <v>69</v>
      </c>
      <c r="E210" s="29">
        <f t="shared" ref="E210:E212" si="169">I210+M210+Q210+U210+Y210</f>
        <v>43</v>
      </c>
      <c r="F210" s="32">
        <v>177.98099999999999</v>
      </c>
      <c r="G210" s="32">
        <f t="shared" ref="G210:G213" si="170">K210+O210+S210+W210+AA210</f>
        <v>7653.1829999999991</v>
      </c>
      <c r="H210" s="68"/>
      <c r="I210" s="161">
        <v>8</v>
      </c>
      <c r="J210" s="32">
        <v>177.98099999999999</v>
      </c>
      <c r="K210" s="163">
        <f t="shared" ref="K210:K213" si="171">J210*I210</f>
        <v>1423.848</v>
      </c>
      <c r="L210" s="163"/>
      <c r="M210" s="164"/>
      <c r="N210" s="163"/>
      <c r="O210" s="163">
        <f t="shared" ref="O210:O213" si="172">N210*M210</f>
        <v>0</v>
      </c>
      <c r="P210" s="163"/>
      <c r="Q210" s="164">
        <v>10</v>
      </c>
      <c r="R210" s="32">
        <v>177.98099999999999</v>
      </c>
      <c r="S210" s="163">
        <f t="shared" ref="S210:S213" si="173">R210*Q210</f>
        <v>1779.81</v>
      </c>
      <c r="T210" s="163"/>
      <c r="U210" s="164">
        <v>24</v>
      </c>
      <c r="V210" s="32">
        <v>177.98099999999999</v>
      </c>
      <c r="W210" s="163">
        <f t="shared" ref="W210:W213" si="174">V210*U210</f>
        <v>4271.5439999999999</v>
      </c>
      <c r="X210" s="163"/>
      <c r="Y210" s="164">
        <v>1</v>
      </c>
      <c r="Z210" s="32">
        <v>177.98099999999999</v>
      </c>
      <c r="AA210" s="163">
        <f t="shared" ref="AA210:AA213" si="175">Z210*Y210</f>
        <v>177.98099999999999</v>
      </c>
    </row>
    <row r="211" spans="1:27">
      <c r="A211" s="35"/>
      <c r="B211" s="27"/>
      <c r="C211" s="168" t="s">
        <v>307</v>
      </c>
      <c r="D211" s="164" t="s">
        <v>69</v>
      </c>
      <c r="E211" s="29">
        <f t="shared" si="169"/>
        <v>1</v>
      </c>
      <c r="F211" s="32">
        <v>255.62</v>
      </c>
      <c r="G211" s="32">
        <f t="shared" si="170"/>
        <v>255.62</v>
      </c>
      <c r="H211" s="68"/>
      <c r="I211" s="161"/>
      <c r="J211" s="163"/>
      <c r="K211" s="163">
        <f t="shared" si="171"/>
        <v>0</v>
      </c>
      <c r="L211" s="163"/>
      <c r="M211" s="164"/>
      <c r="N211" s="163"/>
      <c r="O211" s="163">
        <f t="shared" si="172"/>
        <v>0</v>
      </c>
      <c r="P211" s="163"/>
      <c r="Q211" s="164"/>
      <c r="R211" s="163"/>
      <c r="S211" s="163">
        <f t="shared" si="173"/>
        <v>0</v>
      </c>
      <c r="T211" s="163"/>
      <c r="U211" s="164"/>
      <c r="V211" s="163"/>
      <c r="W211" s="163">
        <f t="shared" si="174"/>
        <v>0</v>
      </c>
      <c r="X211" s="163"/>
      <c r="Y211" s="164">
        <v>1</v>
      </c>
      <c r="Z211" s="32">
        <v>255.62</v>
      </c>
      <c r="AA211" s="163">
        <f t="shared" si="175"/>
        <v>255.62</v>
      </c>
    </row>
    <row r="212" spans="1:27">
      <c r="A212" s="35"/>
      <c r="B212" s="27"/>
      <c r="C212" s="169" t="s">
        <v>308</v>
      </c>
      <c r="D212" s="164" t="s">
        <v>69</v>
      </c>
      <c r="E212" s="29">
        <f t="shared" si="169"/>
        <v>1</v>
      </c>
      <c r="F212" s="32">
        <v>206.726</v>
      </c>
      <c r="G212" s="32">
        <f t="shared" si="170"/>
        <v>206.726</v>
      </c>
      <c r="H212" s="68"/>
      <c r="I212" s="161"/>
      <c r="J212" s="163"/>
      <c r="K212" s="163">
        <f t="shared" si="171"/>
        <v>0</v>
      </c>
      <c r="L212" s="165"/>
      <c r="M212" s="162"/>
      <c r="N212" s="163"/>
      <c r="O212" s="163">
        <f t="shared" si="172"/>
        <v>0</v>
      </c>
      <c r="P212" s="165"/>
      <c r="Q212" s="162">
        <v>1</v>
      </c>
      <c r="R212" s="32">
        <v>206.726</v>
      </c>
      <c r="S212" s="163">
        <f t="shared" si="173"/>
        <v>206.726</v>
      </c>
      <c r="T212" s="165"/>
      <c r="U212" s="162"/>
      <c r="V212" s="163"/>
      <c r="W212" s="163">
        <f t="shared" si="174"/>
        <v>0</v>
      </c>
      <c r="X212" s="165"/>
      <c r="Y212" s="162"/>
      <c r="Z212" s="163"/>
      <c r="AA212" s="163">
        <f t="shared" si="175"/>
        <v>0</v>
      </c>
    </row>
    <row r="213" spans="1:27">
      <c r="A213" s="35"/>
      <c r="B213" s="27"/>
      <c r="C213" s="169" t="s">
        <v>309</v>
      </c>
      <c r="D213" s="371" t="s">
        <v>911</v>
      </c>
      <c r="E213" s="372">
        <v>0</v>
      </c>
      <c r="F213" s="32"/>
      <c r="G213" s="32">
        <f t="shared" si="170"/>
        <v>0</v>
      </c>
      <c r="H213" s="68"/>
      <c r="I213" s="161"/>
      <c r="J213" s="163"/>
      <c r="K213" s="163">
        <f t="shared" si="171"/>
        <v>0</v>
      </c>
      <c r="L213" s="165"/>
      <c r="M213" s="162"/>
      <c r="N213" s="163"/>
      <c r="O213" s="163">
        <f t="shared" si="172"/>
        <v>0</v>
      </c>
      <c r="P213" s="165"/>
      <c r="Q213" s="162">
        <v>0</v>
      </c>
      <c r="R213" s="163"/>
      <c r="S213" s="163">
        <f t="shared" si="173"/>
        <v>0</v>
      </c>
      <c r="T213" s="165"/>
      <c r="U213" s="162"/>
      <c r="V213" s="163"/>
      <c r="W213" s="163">
        <f t="shared" si="174"/>
        <v>0</v>
      </c>
      <c r="X213" s="165"/>
      <c r="Y213" s="162"/>
      <c r="Z213" s="163"/>
      <c r="AA213" s="163">
        <f t="shared" si="175"/>
        <v>0</v>
      </c>
    </row>
    <row r="214" spans="1:27">
      <c r="A214" s="35"/>
      <c r="B214" s="27"/>
      <c r="C214" s="36"/>
      <c r="D214" s="68"/>
      <c r="E214" s="37"/>
      <c r="F214" s="33"/>
      <c r="G214" s="34"/>
      <c r="H214" s="68"/>
      <c r="I214" s="37"/>
      <c r="J214" s="33"/>
      <c r="K214" s="34"/>
      <c r="M214" s="37"/>
      <c r="N214" s="33"/>
      <c r="O214" s="34"/>
      <c r="Q214" s="37"/>
      <c r="R214" s="33"/>
      <c r="S214" s="34"/>
      <c r="U214" s="37"/>
      <c r="V214" s="33"/>
      <c r="W214" s="34"/>
      <c r="Y214" s="37"/>
      <c r="Z214" s="33"/>
      <c r="AA214" s="34"/>
    </row>
    <row r="215" spans="1:27">
      <c r="A215" s="35"/>
      <c r="B215" s="27"/>
      <c r="C215" s="172" t="s">
        <v>317</v>
      </c>
      <c r="D215" s="164"/>
      <c r="E215" s="29"/>
      <c r="F215" s="33" t="s">
        <v>10</v>
      </c>
      <c r="G215" s="182">
        <f>K215+O215+S215+W215+AA215</f>
        <v>63747.108999999997</v>
      </c>
      <c r="H215" s="68"/>
      <c r="I215" s="37"/>
      <c r="J215" s="33" t="s">
        <v>10</v>
      </c>
      <c r="K215" s="34">
        <f>SUM(K186:K214)</f>
        <v>21638.938000000002</v>
      </c>
      <c r="M215" s="37"/>
      <c r="N215" s="33"/>
      <c r="O215" s="34">
        <f>SUM(O186:O214)</f>
        <v>603.59999999999991</v>
      </c>
      <c r="Q215" s="37"/>
      <c r="R215" s="33"/>
      <c r="S215" s="34">
        <f>SUM(S186:S214)</f>
        <v>14969.576000000001</v>
      </c>
      <c r="U215" s="37"/>
      <c r="V215" s="33"/>
      <c r="W215" s="34">
        <f>SUM(W186:W214)</f>
        <v>17860.343999999997</v>
      </c>
      <c r="Y215" s="37"/>
      <c r="Z215" s="33"/>
      <c r="AA215" s="34">
        <f>SUM(AA186:AA214)</f>
        <v>8674.6510000000017</v>
      </c>
    </row>
    <row r="216" spans="1:27">
      <c r="A216" s="35"/>
      <c r="B216" s="27"/>
      <c r="C216" s="336"/>
      <c r="D216" s="164"/>
      <c r="E216" s="37"/>
      <c r="F216" s="33"/>
      <c r="G216" s="34"/>
      <c r="H216" s="68"/>
      <c r="I216" s="161"/>
      <c r="J216" s="163"/>
      <c r="K216" s="163"/>
      <c r="L216" s="163"/>
      <c r="M216" s="164"/>
      <c r="N216" s="163"/>
      <c r="O216" s="163"/>
      <c r="P216" s="163"/>
      <c r="Q216" s="164"/>
      <c r="R216" s="163"/>
      <c r="S216" s="163"/>
      <c r="T216" s="163"/>
      <c r="U216" s="164"/>
      <c r="V216" s="163"/>
      <c r="W216" s="163"/>
      <c r="X216" s="163"/>
      <c r="Y216" s="164"/>
      <c r="Z216" s="163"/>
      <c r="AA216" s="163"/>
    </row>
    <row r="217" spans="1:27">
      <c r="A217" s="35"/>
      <c r="B217" s="27"/>
      <c r="C217" s="336"/>
      <c r="D217" s="164"/>
      <c r="E217" s="37"/>
      <c r="F217" s="33"/>
      <c r="G217" s="34"/>
      <c r="H217" s="68"/>
      <c r="I217" s="161"/>
      <c r="J217" s="163"/>
      <c r="K217" s="163"/>
      <c r="L217" s="163"/>
      <c r="M217" s="164"/>
      <c r="N217" s="163"/>
      <c r="O217" s="163"/>
      <c r="P217" s="163"/>
      <c r="Q217" s="164"/>
      <c r="R217" s="163"/>
      <c r="S217" s="163"/>
      <c r="T217" s="163"/>
      <c r="U217" s="164"/>
      <c r="V217" s="163"/>
      <c r="W217" s="163"/>
      <c r="X217" s="163"/>
      <c r="Y217" s="164"/>
      <c r="Z217" s="163"/>
      <c r="AA217" s="163"/>
    </row>
    <row r="218" spans="1:27">
      <c r="A218" s="35"/>
      <c r="B218" s="27"/>
      <c r="C218" s="336"/>
      <c r="D218" s="164"/>
      <c r="E218" s="37"/>
      <c r="F218" s="33"/>
      <c r="G218" s="34"/>
      <c r="H218" s="68"/>
      <c r="I218" s="161"/>
      <c r="J218" s="163"/>
      <c r="K218" s="163"/>
      <c r="L218" s="163"/>
      <c r="M218" s="164"/>
      <c r="N218" s="163"/>
      <c r="O218" s="163"/>
      <c r="P218" s="163"/>
      <c r="Q218" s="164"/>
      <c r="R218" s="163"/>
      <c r="S218" s="163"/>
      <c r="T218" s="163"/>
      <c r="U218" s="164"/>
      <c r="V218" s="163"/>
      <c r="W218" s="163"/>
      <c r="X218" s="163"/>
      <c r="Y218" s="164"/>
      <c r="Z218" s="163"/>
      <c r="AA218" s="163"/>
    </row>
    <row r="219" spans="1:27">
      <c r="A219" s="463"/>
      <c r="B219" s="464"/>
      <c r="C219" s="465" t="s">
        <v>1055</v>
      </c>
      <c r="D219" s="466"/>
      <c r="E219" s="467"/>
      <c r="F219" s="468"/>
      <c r="G219" s="469"/>
      <c r="H219" s="466"/>
      <c r="I219" s="470"/>
      <c r="J219" s="468"/>
      <c r="K219" s="469"/>
      <c r="L219" s="471"/>
      <c r="M219" s="470"/>
      <c r="N219" s="468"/>
      <c r="O219" s="469"/>
      <c r="P219" s="471"/>
      <c r="Q219" s="470"/>
      <c r="R219" s="468"/>
      <c r="S219" s="469"/>
      <c r="T219" s="471"/>
      <c r="U219" s="470"/>
      <c r="V219" s="468"/>
      <c r="W219" s="469"/>
      <c r="X219" s="471"/>
      <c r="Y219" s="470"/>
      <c r="Z219" s="468"/>
      <c r="AA219" s="469"/>
    </row>
    <row r="220" spans="1:27">
      <c r="A220" s="61"/>
      <c r="B220" s="62" t="s">
        <v>19</v>
      </c>
      <c r="C220" s="173" t="s">
        <v>322</v>
      </c>
      <c r="D220" s="174"/>
      <c r="E220" s="65"/>
      <c r="F220" s="66"/>
      <c r="G220" s="66"/>
      <c r="H220" s="64"/>
      <c r="I220" s="178">
        <v>0</v>
      </c>
      <c r="J220" s="180"/>
      <c r="K220" s="180"/>
      <c r="L220" s="180"/>
      <c r="M220" s="178"/>
      <c r="N220" s="180"/>
      <c r="O220" s="180"/>
      <c r="P220" s="180"/>
      <c r="Q220" s="178"/>
      <c r="R220" s="180"/>
      <c r="S220" s="180"/>
      <c r="T220" s="180"/>
      <c r="U220" s="178"/>
      <c r="V220" s="180"/>
      <c r="W220" s="180"/>
      <c r="X220" s="180"/>
      <c r="Y220" s="178"/>
      <c r="Z220" s="180"/>
      <c r="AA220" s="180"/>
    </row>
    <row r="221" spans="1:27">
      <c r="A221" s="14"/>
      <c r="B221" s="31"/>
      <c r="C221" s="190" t="s">
        <v>224</v>
      </c>
      <c r="D221" s="164" t="s">
        <v>234</v>
      </c>
      <c r="E221" s="29">
        <f>I221+M221+Q221+U221+Y221</f>
        <v>0</v>
      </c>
      <c r="F221" s="32"/>
      <c r="G221" s="32">
        <f>K221+O221+S221+W221+AA221</f>
        <v>0</v>
      </c>
      <c r="H221" s="67"/>
      <c r="I221" s="161">
        <v>0</v>
      </c>
      <c r="J221" s="163">
        <v>0</v>
      </c>
      <c r="K221" s="163">
        <f t="shared" ref="K221:K226" si="176">I221*J221</f>
        <v>0</v>
      </c>
      <c r="L221" s="163"/>
      <c r="M221" s="161"/>
      <c r="N221" s="163">
        <v>0</v>
      </c>
      <c r="O221" s="163">
        <f t="shared" ref="O221:O226" si="177">M221*N221</f>
        <v>0</v>
      </c>
      <c r="P221" s="163"/>
      <c r="Q221" s="161"/>
      <c r="R221" s="163"/>
      <c r="S221" s="163">
        <f t="shared" ref="S221:S226" si="178">Q221*R221</f>
        <v>0</v>
      </c>
      <c r="T221" s="163"/>
      <c r="U221" s="161"/>
      <c r="V221" s="163">
        <v>0</v>
      </c>
      <c r="W221" s="163">
        <f t="shared" ref="W221:W226" si="179">U221*V221</f>
        <v>0</v>
      </c>
      <c r="X221" s="163"/>
      <c r="Y221" s="161"/>
      <c r="Z221" s="163">
        <v>0</v>
      </c>
      <c r="AA221" s="163">
        <f t="shared" ref="AA221:AA226" si="180">Y221*Z221</f>
        <v>0</v>
      </c>
    </row>
    <row r="222" spans="1:27">
      <c r="A222" s="14"/>
      <c r="B222" s="31"/>
      <c r="C222" s="190" t="s">
        <v>225</v>
      </c>
      <c r="D222" s="166" t="s">
        <v>6</v>
      </c>
      <c r="E222" s="29">
        <f t="shared" ref="E222:E226" si="181">I222+M222+Q222+U222+Y222</f>
        <v>1</v>
      </c>
      <c r="F222" s="32">
        <v>1532.68</v>
      </c>
      <c r="G222" s="32">
        <f t="shared" ref="G222:G226" si="182">K222+O222+S222+W222+AA222</f>
        <v>1532.68</v>
      </c>
      <c r="H222" s="67"/>
      <c r="I222" s="161">
        <v>0</v>
      </c>
      <c r="J222" s="163"/>
      <c r="K222" s="163">
        <f t="shared" si="176"/>
        <v>0</v>
      </c>
      <c r="L222" s="163"/>
      <c r="M222" s="161"/>
      <c r="N222" s="163"/>
      <c r="O222" s="163">
        <f t="shared" si="177"/>
        <v>0</v>
      </c>
      <c r="P222" s="163"/>
      <c r="Q222" s="161"/>
      <c r="R222" s="163"/>
      <c r="S222" s="163">
        <f t="shared" si="178"/>
        <v>0</v>
      </c>
      <c r="T222" s="163"/>
      <c r="U222" s="161"/>
      <c r="V222" s="163"/>
      <c r="W222" s="163">
        <f t="shared" si="179"/>
        <v>0</v>
      </c>
      <c r="X222" s="163"/>
      <c r="Y222" s="161">
        <v>1</v>
      </c>
      <c r="Z222" s="163">
        <v>1532.68</v>
      </c>
      <c r="AA222" s="163">
        <f t="shared" si="180"/>
        <v>1532.68</v>
      </c>
    </row>
    <row r="223" spans="1:27" ht="27.6">
      <c r="A223" s="14"/>
      <c r="B223" s="31"/>
      <c r="C223" s="168" t="s">
        <v>226</v>
      </c>
      <c r="D223" s="166" t="s">
        <v>6</v>
      </c>
      <c r="E223" s="29">
        <f t="shared" si="181"/>
        <v>1</v>
      </c>
      <c r="F223" s="32">
        <v>1096.7</v>
      </c>
      <c r="G223" s="32">
        <f t="shared" si="182"/>
        <v>1096.7</v>
      </c>
      <c r="H223" s="67"/>
      <c r="I223" s="161">
        <v>0</v>
      </c>
      <c r="J223" s="163"/>
      <c r="K223" s="163">
        <f t="shared" si="176"/>
        <v>0</v>
      </c>
      <c r="L223" s="163"/>
      <c r="M223" s="161"/>
      <c r="N223" s="163"/>
      <c r="O223" s="163">
        <f t="shared" si="177"/>
        <v>0</v>
      </c>
      <c r="P223" s="163"/>
      <c r="Q223" s="161"/>
      <c r="R223" s="163"/>
      <c r="S223" s="163">
        <f t="shared" si="178"/>
        <v>0</v>
      </c>
      <c r="T223" s="163"/>
      <c r="U223" s="161"/>
      <c r="V223" s="163"/>
      <c r="W223" s="163">
        <f t="shared" si="179"/>
        <v>0</v>
      </c>
      <c r="X223" s="163"/>
      <c r="Y223" s="161">
        <v>1</v>
      </c>
      <c r="Z223" s="163">
        <v>1096.7</v>
      </c>
      <c r="AA223" s="163">
        <f t="shared" si="180"/>
        <v>1096.7</v>
      </c>
    </row>
    <row r="224" spans="1:27">
      <c r="A224" s="14"/>
      <c r="B224" s="31"/>
      <c r="C224" s="168" t="s">
        <v>1056</v>
      </c>
      <c r="D224" s="166" t="s">
        <v>249</v>
      </c>
      <c r="E224" s="29">
        <f t="shared" si="181"/>
        <v>0</v>
      </c>
      <c r="F224" s="32"/>
      <c r="G224" s="32">
        <f t="shared" si="182"/>
        <v>0</v>
      </c>
      <c r="H224" s="67"/>
      <c r="I224" s="161">
        <v>0</v>
      </c>
      <c r="J224" s="163">
        <v>0</v>
      </c>
      <c r="K224" s="163">
        <f t="shared" si="176"/>
        <v>0</v>
      </c>
      <c r="L224" s="163"/>
      <c r="M224" s="161"/>
      <c r="N224" s="163">
        <v>0</v>
      </c>
      <c r="O224" s="163">
        <f t="shared" si="177"/>
        <v>0</v>
      </c>
      <c r="P224" s="163"/>
      <c r="Q224" s="161"/>
      <c r="R224" s="163">
        <v>0</v>
      </c>
      <c r="S224" s="163">
        <f t="shared" si="178"/>
        <v>0</v>
      </c>
      <c r="T224" s="163"/>
      <c r="U224" s="161"/>
      <c r="V224" s="163">
        <v>0</v>
      </c>
      <c r="W224" s="163">
        <f t="shared" si="179"/>
        <v>0</v>
      </c>
      <c r="X224" s="163"/>
      <c r="Y224" s="161"/>
      <c r="Z224" s="163"/>
      <c r="AA224" s="163">
        <f t="shared" si="180"/>
        <v>0</v>
      </c>
    </row>
    <row r="225" spans="1:28" ht="27.6">
      <c r="A225" s="14"/>
      <c r="B225" s="27"/>
      <c r="C225" s="190" t="s">
        <v>324</v>
      </c>
      <c r="D225" s="164" t="s">
        <v>234</v>
      </c>
      <c r="E225" s="29">
        <f t="shared" si="181"/>
        <v>0</v>
      </c>
      <c r="F225" s="32"/>
      <c r="G225" s="32">
        <f t="shared" si="182"/>
        <v>0</v>
      </c>
      <c r="H225" s="68"/>
      <c r="I225" s="161">
        <v>0</v>
      </c>
      <c r="J225" s="163">
        <v>0</v>
      </c>
      <c r="K225" s="163">
        <f t="shared" si="176"/>
        <v>0</v>
      </c>
      <c r="L225" s="163"/>
      <c r="M225" s="161"/>
      <c r="N225" s="163">
        <v>0</v>
      </c>
      <c r="O225" s="163">
        <f t="shared" si="177"/>
        <v>0</v>
      </c>
      <c r="P225" s="163"/>
      <c r="Q225" s="161"/>
      <c r="R225" s="163">
        <v>0</v>
      </c>
      <c r="S225" s="163">
        <f t="shared" si="178"/>
        <v>0</v>
      </c>
      <c r="T225" s="163"/>
      <c r="U225" s="161"/>
      <c r="V225" s="163">
        <v>0</v>
      </c>
      <c r="W225" s="163">
        <f t="shared" si="179"/>
        <v>0</v>
      </c>
      <c r="X225" s="163"/>
      <c r="Y225" s="161"/>
      <c r="Z225" s="163">
        <v>0</v>
      </c>
      <c r="AA225" s="163">
        <f t="shared" si="180"/>
        <v>0</v>
      </c>
    </row>
    <row r="226" spans="1:28">
      <c r="A226" s="14"/>
      <c r="B226" s="27"/>
      <c r="C226" s="190" t="s">
        <v>325</v>
      </c>
      <c r="D226" s="164" t="s">
        <v>230</v>
      </c>
      <c r="E226" s="29">
        <f t="shared" si="181"/>
        <v>0</v>
      </c>
      <c r="F226" s="32"/>
      <c r="G226" s="32">
        <f t="shared" si="182"/>
        <v>0</v>
      </c>
      <c r="H226" s="68"/>
      <c r="I226" s="161">
        <v>0</v>
      </c>
      <c r="J226" s="163">
        <v>0</v>
      </c>
      <c r="K226" s="163">
        <f t="shared" si="176"/>
        <v>0</v>
      </c>
      <c r="L226" s="163"/>
      <c r="M226" s="161"/>
      <c r="N226" s="163">
        <v>0</v>
      </c>
      <c r="O226" s="163">
        <f t="shared" si="177"/>
        <v>0</v>
      </c>
      <c r="P226" s="163"/>
      <c r="Q226" s="161"/>
      <c r="R226" s="163">
        <v>0</v>
      </c>
      <c r="S226" s="163">
        <f t="shared" si="178"/>
        <v>0</v>
      </c>
      <c r="T226" s="163"/>
      <c r="U226" s="161"/>
      <c r="V226" s="163">
        <v>0</v>
      </c>
      <c r="W226" s="163">
        <f t="shared" si="179"/>
        <v>0</v>
      </c>
      <c r="X226" s="163"/>
      <c r="Y226" s="161"/>
      <c r="Z226" s="163">
        <v>0</v>
      </c>
      <c r="AA226" s="163">
        <f t="shared" si="180"/>
        <v>0</v>
      </c>
    </row>
    <row r="227" spans="1:28">
      <c r="A227" s="14"/>
      <c r="B227" s="31"/>
      <c r="C227" s="168"/>
      <c r="D227" s="164"/>
      <c r="E227" s="29"/>
      <c r="F227" s="33"/>
      <c r="G227" s="34"/>
      <c r="H227" s="67"/>
      <c r="I227" s="161"/>
      <c r="J227" s="163"/>
      <c r="K227" s="163"/>
      <c r="L227" s="163"/>
      <c r="M227" s="161"/>
      <c r="N227" s="163"/>
      <c r="O227" s="163"/>
      <c r="P227" s="163"/>
      <c r="Q227" s="161"/>
      <c r="R227" s="163"/>
      <c r="S227" s="163"/>
      <c r="T227" s="163"/>
      <c r="U227" s="161"/>
      <c r="V227" s="163"/>
      <c r="W227" s="163"/>
      <c r="X227" s="163"/>
      <c r="Y227" s="161"/>
      <c r="Z227" s="163"/>
      <c r="AA227" s="163"/>
    </row>
    <row r="228" spans="1:28">
      <c r="A228" s="14"/>
      <c r="B228" s="31"/>
      <c r="C228" s="172" t="s">
        <v>312</v>
      </c>
      <c r="D228" s="164"/>
      <c r="E228" s="29"/>
      <c r="F228" s="33" t="s">
        <v>10</v>
      </c>
      <c r="G228" s="34">
        <f>K228+O228+S228+W228+AA228</f>
        <v>2629.38</v>
      </c>
      <c r="H228" s="67"/>
      <c r="I228" s="161"/>
      <c r="J228" s="33" t="s">
        <v>10</v>
      </c>
      <c r="K228" s="34">
        <f>SUM(K220:K227)</f>
        <v>0</v>
      </c>
      <c r="L228" s="163"/>
      <c r="M228" s="161"/>
      <c r="N228" s="33" t="s">
        <v>10</v>
      </c>
      <c r="O228" s="34">
        <f>SUM(O220:O227)</f>
        <v>0</v>
      </c>
      <c r="P228" s="163"/>
      <c r="Q228" s="161"/>
      <c r="R228" s="33" t="s">
        <v>10</v>
      </c>
      <c r="S228" s="34">
        <f>SUM(S220:S227)</f>
        <v>0</v>
      </c>
      <c r="T228" s="163"/>
      <c r="U228" s="161"/>
      <c r="V228" s="33" t="s">
        <v>10</v>
      </c>
      <c r="W228" s="34">
        <f>SUM(W220:W227)</f>
        <v>0</v>
      </c>
      <c r="X228" s="163"/>
      <c r="Y228" s="161"/>
      <c r="Z228" s="33" t="s">
        <v>10</v>
      </c>
      <c r="AA228" s="34">
        <f>SUM(AA220:AA227)</f>
        <v>2629.38</v>
      </c>
    </row>
    <row r="229" spans="1:28">
      <c r="A229" s="14"/>
      <c r="B229" s="31"/>
      <c r="C229" s="168"/>
      <c r="D229" s="164"/>
      <c r="E229" s="29"/>
      <c r="F229" s="33"/>
      <c r="G229" s="34"/>
      <c r="H229" s="67"/>
      <c r="I229" s="161"/>
      <c r="J229" s="163"/>
      <c r="K229" s="163"/>
      <c r="L229" s="163"/>
      <c r="M229" s="161"/>
      <c r="N229" s="163"/>
      <c r="O229" s="163"/>
      <c r="P229" s="163"/>
      <c r="Q229" s="161"/>
      <c r="R229" s="163"/>
      <c r="S229" s="163"/>
      <c r="T229" s="163"/>
      <c r="U229" s="161"/>
      <c r="V229" s="163"/>
      <c r="W229" s="163"/>
      <c r="X229" s="163"/>
      <c r="Y229" s="161"/>
      <c r="Z229" s="163"/>
      <c r="AA229" s="163"/>
    </row>
    <row r="230" spans="1:28">
      <c r="A230" s="14"/>
      <c r="B230" s="31"/>
      <c r="C230" s="168"/>
      <c r="D230" s="164"/>
      <c r="E230" s="29"/>
      <c r="F230" s="33"/>
      <c r="G230" s="34"/>
      <c r="H230" s="67"/>
      <c r="I230" s="161"/>
      <c r="J230" s="163"/>
      <c r="K230" s="163"/>
      <c r="L230" s="163"/>
      <c r="M230" s="161"/>
      <c r="N230" s="163"/>
      <c r="O230" s="163"/>
      <c r="P230" s="163"/>
      <c r="Q230" s="161"/>
      <c r="R230" s="163"/>
      <c r="S230" s="163"/>
      <c r="T230" s="163"/>
      <c r="U230" s="161"/>
      <c r="V230" s="163"/>
      <c r="W230" s="163"/>
      <c r="X230" s="163"/>
      <c r="Y230" s="161"/>
      <c r="Z230" s="163"/>
      <c r="AA230" s="163"/>
    </row>
    <row r="231" spans="1:28">
      <c r="A231" s="14"/>
      <c r="B231" s="62" t="s">
        <v>20</v>
      </c>
      <c r="C231" s="173" t="s">
        <v>1057</v>
      </c>
      <c r="D231" s="174"/>
      <c r="E231" s="65"/>
      <c r="F231" s="66"/>
      <c r="G231" s="66"/>
      <c r="H231" s="64"/>
      <c r="I231" s="178"/>
      <c r="J231" s="180"/>
      <c r="K231" s="180"/>
      <c r="L231" s="180"/>
      <c r="M231" s="178"/>
      <c r="N231" s="180"/>
      <c r="O231" s="180"/>
      <c r="P231" s="180"/>
      <c r="Q231" s="178"/>
      <c r="R231" s="180"/>
      <c r="S231" s="180"/>
      <c r="T231" s="180"/>
      <c r="U231" s="178"/>
      <c r="V231" s="180"/>
      <c r="W231" s="180"/>
      <c r="X231" s="180"/>
      <c r="Y231" s="178"/>
      <c r="Z231" s="180"/>
      <c r="AA231" s="180"/>
    </row>
    <row r="232" spans="1:28" ht="25.65" customHeight="1">
      <c r="A232" s="14"/>
      <c r="B232" s="31"/>
      <c r="C232" s="472" t="s">
        <v>1058</v>
      </c>
      <c r="D232" s="164" t="s">
        <v>249</v>
      </c>
      <c r="E232" s="29">
        <f t="shared" ref="E232:E233" si="183">I232+M232+Q232+U232+Y232</f>
        <v>0</v>
      </c>
      <c r="F232" s="32"/>
      <c r="G232" s="32">
        <f t="shared" ref="G232:G233" si="184">K232+O232+S232+W232+AA232</f>
        <v>0</v>
      </c>
      <c r="H232" s="67"/>
      <c r="I232" s="161">
        <v>0</v>
      </c>
      <c r="J232" s="163">
        <v>0</v>
      </c>
      <c r="K232" s="163">
        <f t="shared" ref="K232:K233" si="185">I232*J232</f>
        <v>0</v>
      </c>
      <c r="L232" s="163"/>
      <c r="M232" s="161"/>
      <c r="N232" s="163">
        <v>0</v>
      </c>
      <c r="O232" s="163">
        <f t="shared" ref="O232:O233" si="186">M232*N232</f>
        <v>0</v>
      </c>
      <c r="P232" s="163"/>
      <c r="Q232" s="161"/>
      <c r="R232" s="163">
        <v>0</v>
      </c>
      <c r="S232" s="163">
        <f t="shared" ref="S232:S233" si="187">Q232*R232</f>
        <v>0</v>
      </c>
      <c r="T232" s="163"/>
      <c r="U232" s="161"/>
      <c r="V232" s="163">
        <v>0</v>
      </c>
      <c r="W232" s="163">
        <f t="shared" ref="W232:W233" si="188">U232*V232</f>
        <v>0</v>
      </c>
      <c r="X232" s="163"/>
      <c r="Y232" s="161"/>
      <c r="Z232" s="163">
        <v>0</v>
      </c>
      <c r="AA232" s="163">
        <f t="shared" ref="AA232:AA233" si="189">Y232*Z232</f>
        <v>0</v>
      </c>
      <c r="AB232" s="22"/>
    </row>
    <row r="233" spans="1:28">
      <c r="A233" s="14"/>
      <c r="B233" s="31"/>
      <c r="C233" s="168" t="s">
        <v>1059</v>
      </c>
      <c r="D233" s="164" t="s">
        <v>249</v>
      </c>
      <c r="E233" s="29">
        <f t="shared" si="183"/>
        <v>0</v>
      </c>
      <c r="F233" s="32"/>
      <c r="G233" s="32">
        <f t="shared" si="184"/>
        <v>0</v>
      </c>
      <c r="H233" s="67"/>
      <c r="I233" s="161">
        <v>0</v>
      </c>
      <c r="J233" s="163">
        <v>0</v>
      </c>
      <c r="K233" s="163">
        <f t="shared" si="185"/>
        <v>0</v>
      </c>
      <c r="L233" s="163"/>
      <c r="M233" s="161"/>
      <c r="N233" s="163">
        <v>0</v>
      </c>
      <c r="O233" s="163">
        <f t="shared" si="186"/>
        <v>0</v>
      </c>
      <c r="P233" s="163"/>
      <c r="Q233" s="161"/>
      <c r="R233" s="163">
        <v>0</v>
      </c>
      <c r="S233" s="163">
        <f t="shared" si="187"/>
        <v>0</v>
      </c>
      <c r="T233" s="163"/>
      <c r="U233" s="161"/>
      <c r="V233" s="163">
        <v>0</v>
      </c>
      <c r="W233" s="163">
        <f t="shared" si="188"/>
        <v>0</v>
      </c>
      <c r="X233" s="163"/>
      <c r="Y233" s="161"/>
      <c r="Z233" s="163">
        <v>0</v>
      </c>
      <c r="AA233" s="163">
        <f t="shared" si="189"/>
        <v>0</v>
      </c>
      <c r="AB233" s="22"/>
    </row>
    <row r="234" spans="1:28">
      <c r="A234" s="14"/>
      <c r="B234" s="31"/>
      <c r="C234" s="168"/>
      <c r="D234" s="164"/>
      <c r="E234" s="29"/>
      <c r="F234" s="32"/>
      <c r="G234" s="32"/>
      <c r="H234" s="67"/>
      <c r="I234" s="161"/>
      <c r="J234" s="163"/>
      <c r="K234" s="163"/>
      <c r="L234" s="163"/>
      <c r="M234" s="161"/>
      <c r="N234" s="163"/>
      <c r="O234" s="163"/>
      <c r="P234" s="163"/>
      <c r="Q234" s="161"/>
      <c r="R234" s="163"/>
      <c r="S234" s="163"/>
      <c r="T234" s="163"/>
      <c r="U234" s="161"/>
      <c r="V234" s="163"/>
      <c r="W234" s="163"/>
      <c r="X234" s="163"/>
      <c r="Y234" s="161"/>
      <c r="Z234" s="163"/>
      <c r="AA234" s="163"/>
    </row>
    <row r="235" spans="1:28">
      <c r="A235" s="14"/>
      <c r="B235" s="31"/>
      <c r="C235" s="172" t="s">
        <v>1060</v>
      </c>
      <c r="D235" s="164"/>
      <c r="E235" s="29"/>
      <c r="F235" s="33" t="s">
        <v>10</v>
      </c>
      <c r="G235" s="34">
        <f>K235+O235+S235+W235+AA235</f>
        <v>0</v>
      </c>
      <c r="H235" s="67"/>
      <c r="I235" s="161"/>
      <c r="J235" s="33" t="s">
        <v>10</v>
      </c>
      <c r="K235" s="34">
        <f>SUM(K231:K234)</f>
        <v>0</v>
      </c>
      <c r="L235" s="163"/>
      <c r="M235" s="161"/>
      <c r="N235" s="33" t="s">
        <v>10</v>
      </c>
      <c r="O235" s="34">
        <f>SUM(O231:O234)</f>
        <v>0</v>
      </c>
      <c r="P235" s="163"/>
      <c r="Q235" s="161"/>
      <c r="R235" s="33" t="s">
        <v>10</v>
      </c>
      <c r="S235" s="34">
        <f>SUM(S231:S234)</f>
        <v>0</v>
      </c>
      <c r="T235" s="163"/>
      <c r="U235" s="161"/>
      <c r="V235" s="33" t="s">
        <v>10</v>
      </c>
      <c r="W235" s="34">
        <f>SUM(W231:W234)</f>
        <v>0</v>
      </c>
      <c r="X235" s="163"/>
      <c r="Y235" s="161"/>
      <c r="Z235" s="33" t="s">
        <v>10</v>
      </c>
      <c r="AA235" s="34">
        <f>SUM(AA231:AA234)</f>
        <v>0</v>
      </c>
    </row>
    <row r="236" spans="1:28">
      <c r="A236" s="14"/>
      <c r="B236" s="31"/>
      <c r="C236" s="168"/>
      <c r="D236" s="164"/>
      <c r="E236" s="29"/>
      <c r="F236" s="32"/>
      <c r="G236" s="32"/>
      <c r="H236" s="67"/>
      <c r="I236" s="161"/>
      <c r="J236" s="163"/>
      <c r="K236" s="163"/>
      <c r="L236" s="163"/>
      <c r="M236" s="161"/>
      <c r="N236" s="163"/>
      <c r="O236" s="163"/>
      <c r="P236" s="163"/>
      <c r="Q236" s="161"/>
      <c r="R236" s="163"/>
      <c r="S236" s="163"/>
      <c r="T236" s="163"/>
      <c r="U236" s="161"/>
      <c r="V236" s="163"/>
      <c r="W236" s="163"/>
      <c r="X236" s="163"/>
      <c r="Y236" s="161"/>
      <c r="Z236" s="163"/>
      <c r="AA236" s="163"/>
    </row>
    <row r="237" spans="1:28">
      <c r="A237" s="14"/>
      <c r="B237" s="31"/>
      <c r="C237" s="168"/>
      <c r="D237" s="164"/>
      <c r="E237" s="29"/>
      <c r="F237" s="32"/>
      <c r="G237" s="32"/>
      <c r="H237" s="67"/>
      <c r="I237" s="161"/>
      <c r="J237" s="163"/>
      <c r="K237" s="163"/>
      <c r="L237" s="163"/>
      <c r="M237" s="161"/>
      <c r="N237" s="163"/>
      <c r="O237" s="163"/>
      <c r="P237" s="163"/>
      <c r="Q237" s="161"/>
      <c r="R237" s="163"/>
      <c r="S237" s="163"/>
      <c r="T237" s="163"/>
      <c r="U237" s="161"/>
      <c r="V237" s="163"/>
      <c r="W237" s="163"/>
      <c r="X237" s="163"/>
      <c r="Y237" s="161"/>
      <c r="Z237" s="163"/>
      <c r="AA237" s="163"/>
    </row>
    <row r="238" spans="1:28">
      <c r="A238" s="14"/>
      <c r="B238" s="62" t="s">
        <v>21</v>
      </c>
      <c r="C238" s="173" t="s">
        <v>319</v>
      </c>
      <c r="D238" s="174"/>
      <c r="E238" s="65"/>
      <c r="F238" s="66"/>
      <c r="G238" s="66"/>
      <c r="H238" s="64"/>
      <c r="I238" s="178">
        <v>0</v>
      </c>
      <c r="J238" s="180"/>
      <c r="K238" s="180"/>
      <c r="L238" s="180"/>
      <c r="M238" s="178"/>
      <c r="N238" s="180"/>
      <c r="O238" s="180"/>
      <c r="P238" s="180"/>
      <c r="Q238" s="178"/>
      <c r="R238" s="180"/>
      <c r="S238" s="180"/>
      <c r="T238" s="180"/>
      <c r="U238" s="178"/>
      <c r="V238" s="180"/>
      <c r="W238" s="180"/>
      <c r="X238" s="180"/>
      <c r="Y238" s="178"/>
      <c r="Z238" s="180"/>
      <c r="AA238" s="180"/>
    </row>
    <row r="239" spans="1:28">
      <c r="A239" s="14"/>
      <c r="B239" s="31"/>
      <c r="C239" s="168" t="s">
        <v>1061</v>
      </c>
      <c r="D239" s="164" t="s">
        <v>249</v>
      </c>
      <c r="E239" s="29">
        <f t="shared" ref="E239:E243" si="190">I239+M239+Q239+U239+Y239</f>
        <v>0</v>
      </c>
      <c r="F239" s="32"/>
      <c r="G239" s="32">
        <f t="shared" ref="G239:G242" si="191">K239+O239+S239+W239+AA239</f>
        <v>0</v>
      </c>
      <c r="H239" s="67"/>
      <c r="I239" s="161">
        <v>0</v>
      </c>
      <c r="J239" s="163">
        <v>0</v>
      </c>
      <c r="K239" s="163">
        <f t="shared" ref="K239:K242" si="192">I239*J239</f>
        <v>0</v>
      </c>
      <c r="L239" s="163"/>
      <c r="M239" s="161"/>
      <c r="N239" s="163">
        <v>0</v>
      </c>
      <c r="O239" s="163">
        <f t="shared" ref="O239:O242" si="193">M239*N239</f>
        <v>0</v>
      </c>
      <c r="P239" s="163"/>
      <c r="Q239" s="161"/>
      <c r="R239" s="163">
        <v>0</v>
      </c>
      <c r="S239" s="163">
        <f t="shared" ref="S239:S242" si="194">Q239*R239</f>
        <v>0</v>
      </c>
      <c r="T239" s="163"/>
      <c r="U239" s="161"/>
      <c r="V239" s="163">
        <v>0</v>
      </c>
      <c r="W239" s="163">
        <f t="shared" ref="W239:W242" si="195">U239*V239</f>
        <v>0</v>
      </c>
      <c r="X239" s="163"/>
      <c r="Y239" s="161"/>
      <c r="Z239" s="163">
        <v>0</v>
      </c>
      <c r="AA239" s="163">
        <f t="shared" ref="AA239:AA242" si="196">Y239*Z239</f>
        <v>0</v>
      </c>
    </row>
    <row r="240" spans="1:28">
      <c r="A240" s="14"/>
      <c r="B240" s="31"/>
      <c r="C240" s="168" t="s">
        <v>1062</v>
      </c>
      <c r="D240" s="164" t="s">
        <v>249</v>
      </c>
      <c r="E240" s="29">
        <f t="shared" si="190"/>
        <v>0</v>
      </c>
      <c r="F240" s="32"/>
      <c r="G240" s="32">
        <f t="shared" si="191"/>
        <v>0</v>
      </c>
      <c r="H240" s="32"/>
      <c r="I240" s="161">
        <v>0</v>
      </c>
      <c r="J240" s="163">
        <v>0</v>
      </c>
      <c r="K240" s="163">
        <f t="shared" si="192"/>
        <v>0</v>
      </c>
      <c r="L240" s="163"/>
      <c r="M240" s="161"/>
      <c r="N240" s="163">
        <v>0</v>
      </c>
      <c r="O240" s="163">
        <f t="shared" si="193"/>
        <v>0</v>
      </c>
      <c r="P240" s="163"/>
      <c r="Q240" s="161"/>
      <c r="R240" s="163">
        <v>0</v>
      </c>
      <c r="S240" s="163">
        <f t="shared" si="194"/>
        <v>0</v>
      </c>
      <c r="T240" s="163"/>
      <c r="U240" s="161"/>
      <c r="V240" s="163">
        <v>0</v>
      </c>
      <c r="W240" s="163">
        <f t="shared" si="195"/>
        <v>0</v>
      </c>
      <c r="X240" s="163"/>
      <c r="Y240" s="161"/>
      <c r="Z240" s="163">
        <v>0</v>
      </c>
      <c r="AA240" s="163">
        <f t="shared" si="196"/>
        <v>0</v>
      </c>
    </row>
    <row r="241" spans="1:31" ht="41.4">
      <c r="A241" s="14"/>
      <c r="B241" s="31"/>
      <c r="C241" s="168" t="s">
        <v>1063</v>
      </c>
      <c r="D241" s="164" t="s">
        <v>249</v>
      </c>
      <c r="E241" s="29">
        <f t="shared" si="190"/>
        <v>0</v>
      </c>
      <c r="F241" s="32"/>
      <c r="G241" s="32">
        <f t="shared" si="191"/>
        <v>0</v>
      </c>
      <c r="H241" s="67"/>
      <c r="I241" s="161">
        <v>0</v>
      </c>
      <c r="J241" s="163">
        <v>0</v>
      </c>
      <c r="K241" s="163">
        <f t="shared" si="192"/>
        <v>0</v>
      </c>
      <c r="L241" s="163"/>
      <c r="M241" s="161"/>
      <c r="N241" s="163">
        <v>0</v>
      </c>
      <c r="O241" s="163">
        <f t="shared" si="193"/>
        <v>0</v>
      </c>
      <c r="P241" s="163"/>
      <c r="Q241" s="161"/>
      <c r="R241" s="163">
        <v>0</v>
      </c>
      <c r="S241" s="163">
        <f t="shared" si="194"/>
        <v>0</v>
      </c>
      <c r="T241" s="163"/>
      <c r="U241" s="161"/>
      <c r="V241" s="163">
        <v>0</v>
      </c>
      <c r="W241" s="163">
        <f t="shared" si="195"/>
        <v>0</v>
      </c>
      <c r="X241" s="163"/>
      <c r="Y241" s="161"/>
      <c r="Z241" s="163">
        <v>0</v>
      </c>
      <c r="AA241" s="163">
        <f t="shared" si="196"/>
        <v>0</v>
      </c>
      <c r="AC241" s="22"/>
      <c r="AD241" s="22"/>
      <c r="AE241" s="22"/>
    </row>
    <row r="242" spans="1:31">
      <c r="A242" s="14"/>
      <c r="B242" s="31"/>
      <c r="C242" s="168" t="s">
        <v>1064</v>
      </c>
      <c r="D242" s="164" t="s">
        <v>249</v>
      </c>
      <c r="E242" s="29">
        <f t="shared" si="190"/>
        <v>0</v>
      </c>
      <c r="F242" s="32"/>
      <c r="G242" s="32">
        <f t="shared" si="191"/>
        <v>0</v>
      </c>
      <c r="H242" s="67"/>
      <c r="I242" s="161">
        <v>0</v>
      </c>
      <c r="J242" s="163">
        <v>0</v>
      </c>
      <c r="K242" s="163">
        <f t="shared" si="192"/>
        <v>0</v>
      </c>
      <c r="L242" s="163"/>
      <c r="M242" s="161"/>
      <c r="N242" s="163">
        <v>0</v>
      </c>
      <c r="O242" s="163">
        <f t="shared" si="193"/>
        <v>0</v>
      </c>
      <c r="P242" s="163"/>
      <c r="Q242" s="161"/>
      <c r="R242" s="163">
        <v>0</v>
      </c>
      <c r="S242" s="163">
        <f t="shared" si="194"/>
        <v>0</v>
      </c>
      <c r="T242" s="163"/>
      <c r="U242" s="161"/>
      <c r="V242" s="163">
        <v>0</v>
      </c>
      <c r="W242" s="163">
        <f t="shared" si="195"/>
        <v>0</v>
      </c>
      <c r="X242" s="163"/>
      <c r="Y242" s="161"/>
      <c r="Z242" s="163">
        <v>0</v>
      </c>
      <c r="AA242" s="163">
        <f t="shared" si="196"/>
        <v>0</v>
      </c>
      <c r="AC242" s="22"/>
      <c r="AD242" s="22"/>
      <c r="AE242" s="22"/>
    </row>
    <row r="243" spans="1:31">
      <c r="A243" s="14"/>
      <c r="B243" s="31"/>
      <c r="C243" s="168"/>
      <c r="D243" s="164"/>
      <c r="E243" s="29">
        <f t="shared" si="190"/>
        <v>0</v>
      </c>
      <c r="F243" s="32"/>
      <c r="G243" s="32"/>
      <c r="H243" s="67"/>
      <c r="I243" s="161"/>
      <c r="J243" s="163"/>
      <c r="K243" s="163"/>
      <c r="L243" s="163"/>
      <c r="M243" s="161"/>
      <c r="N243" s="163"/>
      <c r="O243" s="163"/>
      <c r="P243" s="163"/>
      <c r="Q243" s="161"/>
      <c r="R243" s="163"/>
      <c r="S243" s="163"/>
      <c r="T243" s="163"/>
      <c r="U243" s="161"/>
      <c r="V243" s="163"/>
      <c r="W243" s="163"/>
      <c r="X243" s="163"/>
      <c r="Y243" s="161"/>
      <c r="Z243" s="163"/>
      <c r="AA243" s="163"/>
      <c r="AC243" s="22"/>
      <c r="AD243" s="22"/>
      <c r="AE243" s="22"/>
    </row>
    <row r="244" spans="1:31">
      <c r="A244" s="35"/>
      <c r="B244" s="27"/>
      <c r="C244" s="172" t="s">
        <v>1065</v>
      </c>
      <c r="D244" s="164"/>
      <c r="E244" s="37"/>
      <c r="F244" s="33"/>
      <c r="G244" s="34"/>
      <c r="H244" s="68"/>
      <c r="I244" s="161"/>
      <c r="J244" s="163"/>
      <c r="K244" s="473"/>
      <c r="L244" s="163"/>
      <c r="M244" s="474"/>
      <c r="N244" s="163"/>
      <c r="O244" s="473"/>
      <c r="P244" s="163"/>
      <c r="Q244" s="474"/>
      <c r="R244" s="163"/>
      <c r="S244" s="473"/>
      <c r="T244" s="163"/>
      <c r="U244" s="474"/>
      <c r="V244" s="163"/>
      <c r="W244" s="473"/>
      <c r="X244" s="163"/>
      <c r="Y244" s="474"/>
      <c r="Z244" s="163"/>
      <c r="AA244" s="473"/>
    </row>
    <row r="245" spans="1:31">
      <c r="A245" s="35"/>
      <c r="B245" s="27"/>
      <c r="C245" s="168" t="s">
        <v>269</v>
      </c>
      <c r="D245" s="164" t="s">
        <v>70</v>
      </c>
      <c r="E245" s="29">
        <f>I245+M245+Q245+U245+Y245</f>
        <v>100</v>
      </c>
      <c r="F245" s="32">
        <v>52.222000000000001</v>
      </c>
      <c r="G245" s="32">
        <f>K245+O245+S245+W245+AA245</f>
        <v>5222.2</v>
      </c>
      <c r="H245" s="68"/>
      <c r="I245" s="161">
        <v>100</v>
      </c>
      <c r="J245" s="32">
        <v>52.222000000000001</v>
      </c>
      <c r="K245" s="163">
        <f t="shared" ref="K245:K248" si="197">I245*J245</f>
        <v>5222.2</v>
      </c>
      <c r="L245" s="163"/>
      <c r="M245" s="474"/>
      <c r="N245" s="163"/>
      <c r="O245" s="163">
        <f t="shared" ref="O245:O248" si="198">M245*N245</f>
        <v>0</v>
      </c>
      <c r="P245" s="163"/>
      <c r="Q245" s="474"/>
      <c r="R245" s="163"/>
      <c r="S245" s="163">
        <f t="shared" ref="S245:S248" si="199">Q245*R245</f>
        <v>0</v>
      </c>
      <c r="T245" s="163"/>
      <c r="U245" s="474"/>
      <c r="V245" s="163"/>
      <c r="W245" s="163">
        <f t="shared" ref="W245:W248" si="200">U245*V245</f>
        <v>0</v>
      </c>
      <c r="X245" s="163"/>
      <c r="Y245" s="474"/>
      <c r="Z245" s="163"/>
      <c r="AA245" s="163">
        <f t="shared" ref="AA245:AA248" si="201">Y245*Z245</f>
        <v>0</v>
      </c>
    </row>
    <row r="246" spans="1:31">
      <c r="A246" s="35"/>
      <c r="B246" s="27"/>
      <c r="C246" s="168" t="s">
        <v>271</v>
      </c>
      <c r="D246" s="164" t="s">
        <v>70</v>
      </c>
      <c r="E246" s="29">
        <f t="shared" ref="E246:E248" si="202">I246+M246+Q246+U246+Y246</f>
        <v>100</v>
      </c>
      <c r="F246" s="32">
        <v>44.344000000000001</v>
      </c>
      <c r="G246" s="32">
        <f t="shared" ref="G246:G248" si="203">K246+O246+S246+W246+AA246</f>
        <v>4434.4000000000005</v>
      </c>
      <c r="H246" s="68"/>
      <c r="I246" s="161">
        <v>100</v>
      </c>
      <c r="J246" s="32">
        <v>44.344000000000001</v>
      </c>
      <c r="K246" s="163">
        <f t="shared" si="197"/>
        <v>4434.4000000000005</v>
      </c>
      <c r="L246" s="163"/>
      <c r="M246" s="474"/>
      <c r="N246" s="163"/>
      <c r="O246" s="163">
        <f t="shared" si="198"/>
        <v>0</v>
      </c>
      <c r="P246" s="163"/>
      <c r="Q246" s="474"/>
      <c r="R246" s="163"/>
      <c r="S246" s="163">
        <f t="shared" si="199"/>
        <v>0</v>
      </c>
      <c r="T246" s="163"/>
      <c r="U246" s="474"/>
      <c r="V246" s="163"/>
      <c r="W246" s="163">
        <f t="shared" si="200"/>
        <v>0</v>
      </c>
      <c r="X246" s="163"/>
      <c r="Y246" s="474"/>
      <c r="Z246" s="163"/>
      <c r="AA246" s="163">
        <f t="shared" si="201"/>
        <v>0</v>
      </c>
    </row>
    <row r="247" spans="1:31">
      <c r="A247" s="35"/>
      <c r="B247" s="27"/>
      <c r="C247" s="168" t="s">
        <v>272</v>
      </c>
      <c r="D247" s="164" t="s">
        <v>70</v>
      </c>
      <c r="E247" s="29">
        <f t="shared" si="202"/>
        <v>100</v>
      </c>
      <c r="F247" s="32">
        <v>42.969000000000001</v>
      </c>
      <c r="G247" s="32">
        <f t="shared" si="203"/>
        <v>4296.9000000000005</v>
      </c>
      <c r="H247" s="68"/>
      <c r="I247" s="161">
        <v>100</v>
      </c>
      <c r="J247" s="163">
        <v>42.969000000000001</v>
      </c>
      <c r="K247" s="163">
        <f t="shared" si="197"/>
        <v>4296.9000000000005</v>
      </c>
      <c r="L247" s="163"/>
      <c r="M247" s="474"/>
      <c r="N247" s="163"/>
      <c r="O247" s="163">
        <f t="shared" si="198"/>
        <v>0</v>
      </c>
      <c r="P247" s="163"/>
      <c r="Q247" s="474"/>
      <c r="R247" s="163"/>
      <c r="S247" s="163">
        <f t="shared" si="199"/>
        <v>0</v>
      </c>
      <c r="T247" s="163"/>
      <c r="U247" s="474"/>
      <c r="V247" s="163"/>
      <c r="W247" s="163">
        <f t="shared" si="200"/>
        <v>0</v>
      </c>
      <c r="X247" s="163"/>
      <c r="Y247" s="474"/>
      <c r="Z247" s="163"/>
      <c r="AA247" s="163">
        <f t="shared" si="201"/>
        <v>0</v>
      </c>
    </row>
    <row r="248" spans="1:31">
      <c r="A248" s="35"/>
      <c r="B248" s="27"/>
      <c r="C248" s="168" t="s">
        <v>274</v>
      </c>
      <c r="D248" s="164" t="s">
        <v>249</v>
      </c>
      <c r="E248" s="29">
        <f t="shared" si="202"/>
        <v>0</v>
      </c>
      <c r="F248" s="32"/>
      <c r="G248" s="32">
        <f t="shared" si="203"/>
        <v>0</v>
      </c>
      <c r="H248" s="68"/>
      <c r="I248" s="161">
        <v>0</v>
      </c>
      <c r="J248" s="163">
        <v>0</v>
      </c>
      <c r="K248" s="163">
        <f t="shared" si="197"/>
        <v>0</v>
      </c>
      <c r="L248" s="163"/>
      <c r="M248" s="474"/>
      <c r="N248" s="163">
        <v>0</v>
      </c>
      <c r="O248" s="163">
        <f t="shared" si="198"/>
        <v>0</v>
      </c>
      <c r="P248" s="163"/>
      <c r="Q248" s="474"/>
      <c r="R248" s="163">
        <v>0</v>
      </c>
      <c r="S248" s="163">
        <f t="shared" si="199"/>
        <v>0</v>
      </c>
      <c r="T248" s="163"/>
      <c r="U248" s="474"/>
      <c r="V248" s="163">
        <v>0</v>
      </c>
      <c r="W248" s="163">
        <f t="shared" si="200"/>
        <v>0</v>
      </c>
      <c r="X248" s="163"/>
      <c r="Y248" s="474"/>
      <c r="Z248" s="163">
        <v>0</v>
      </c>
      <c r="AA248" s="163">
        <f t="shared" si="201"/>
        <v>0</v>
      </c>
    </row>
    <row r="249" spans="1:31">
      <c r="A249" s="35"/>
      <c r="B249" s="27"/>
      <c r="C249" s="168"/>
      <c r="D249" s="164"/>
      <c r="E249" s="37"/>
      <c r="F249" s="33"/>
      <c r="G249" s="34"/>
      <c r="H249" s="68"/>
      <c r="I249" s="161"/>
      <c r="J249" s="163"/>
      <c r="K249" s="473"/>
      <c r="L249" s="163"/>
      <c r="M249" s="474"/>
      <c r="N249" s="163"/>
      <c r="O249" s="473"/>
      <c r="P249" s="163"/>
      <c r="Q249" s="474"/>
      <c r="R249" s="163"/>
      <c r="S249" s="473"/>
      <c r="T249" s="163"/>
      <c r="U249" s="474"/>
      <c r="V249" s="163"/>
      <c r="W249" s="473"/>
      <c r="X249" s="163"/>
      <c r="Y249" s="474"/>
      <c r="Z249" s="163"/>
      <c r="AA249" s="473"/>
    </row>
    <row r="250" spans="1:31">
      <c r="A250" s="35"/>
      <c r="B250" s="27"/>
      <c r="C250" s="172" t="s">
        <v>313</v>
      </c>
      <c r="D250" s="164"/>
      <c r="E250" s="29"/>
      <c r="F250" s="33" t="s">
        <v>10</v>
      </c>
      <c r="G250" s="34">
        <f>K250+O250+S250+W250+AA250</f>
        <v>13953.5</v>
      </c>
      <c r="H250" s="88"/>
      <c r="I250" s="161"/>
      <c r="J250" s="33" t="s">
        <v>10</v>
      </c>
      <c r="K250" s="34">
        <f>SUM(K238:K249)</f>
        <v>13953.5</v>
      </c>
      <c r="L250" s="163"/>
      <c r="M250" s="474"/>
      <c r="N250" s="33" t="s">
        <v>10</v>
      </c>
      <c r="O250" s="34">
        <f>SUM(O238:O249)</f>
        <v>0</v>
      </c>
      <c r="P250" s="163"/>
      <c r="Q250" s="474"/>
      <c r="R250" s="33" t="s">
        <v>10</v>
      </c>
      <c r="S250" s="34">
        <f>SUM(S238:S249)</f>
        <v>0</v>
      </c>
      <c r="T250" s="163"/>
      <c r="U250" s="474"/>
      <c r="V250" s="33" t="s">
        <v>10</v>
      </c>
      <c r="W250" s="34">
        <f>SUM(W238:W249)</f>
        <v>0</v>
      </c>
      <c r="X250" s="163"/>
      <c r="Y250" s="474"/>
      <c r="Z250" s="33" t="s">
        <v>10</v>
      </c>
      <c r="AA250" s="34">
        <f>SUM(AA238:AA249)</f>
        <v>0</v>
      </c>
    </row>
    <row r="251" spans="1:31">
      <c r="A251" s="35"/>
      <c r="B251" s="27"/>
      <c r="C251" s="168"/>
      <c r="D251" s="164"/>
      <c r="E251" s="37"/>
      <c r="F251" s="33"/>
      <c r="G251" s="34"/>
      <c r="H251" s="88"/>
      <c r="I251" s="161"/>
      <c r="J251" s="163"/>
      <c r="K251" s="473"/>
      <c r="L251" s="163"/>
      <c r="M251" s="474"/>
      <c r="N251" s="163"/>
      <c r="O251" s="473"/>
      <c r="P251" s="163"/>
      <c r="Q251" s="474"/>
      <c r="R251" s="163"/>
      <c r="S251" s="473"/>
      <c r="T251" s="163"/>
      <c r="U251" s="474"/>
      <c r="V251" s="163"/>
      <c r="W251" s="473"/>
      <c r="X251" s="163"/>
      <c r="Y251" s="474"/>
      <c r="Z251" s="163"/>
      <c r="AA251" s="473"/>
    </row>
    <row r="252" spans="1:31">
      <c r="A252" s="35"/>
      <c r="B252" s="27"/>
      <c r="C252" s="168"/>
      <c r="D252" s="164"/>
      <c r="E252" s="37"/>
      <c r="F252" s="33"/>
      <c r="G252" s="34"/>
      <c r="H252" s="88"/>
      <c r="I252" s="161"/>
      <c r="J252" s="163"/>
      <c r="K252" s="473"/>
      <c r="L252" s="163"/>
      <c r="M252" s="474"/>
      <c r="N252" s="163"/>
      <c r="O252" s="473"/>
      <c r="P252" s="163"/>
      <c r="Q252" s="474"/>
      <c r="R252" s="163"/>
      <c r="S252" s="473"/>
      <c r="T252" s="163"/>
      <c r="U252" s="474"/>
      <c r="V252" s="163"/>
      <c r="W252" s="473"/>
      <c r="X252" s="163"/>
      <c r="Y252" s="474"/>
      <c r="Z252" s="163"/>
      <c r="AA252" s="473"/>
    </row>
    <row r="253" spans="1:31">
      <c r="A253" s="14"/>
      <c r="B253" s="62" t="s">
        <v>78</v>
      </c>
      <c r="C253" s="173" t="s">
        <v>1066</v>
      </c>
      <c r="D253" s="174"/>
      <c r="E253" s="65"/>
      <c r="F253" s="66"/>
      <c r="G253" s="66"/>
      <c r="H253" s="64"/>
      <c r="I253" s="178"/>
      <c r="J253" s="180"/>
      <c r="K253" s="180"/>
      <c r="L253" s="180"/>
      <c r="M253" s="178"/>
      <c r="N253" s="180"/>
      <c r="O253" s="180"/>
      <c r="P253" s="180"/>
      <c r="Q253" s="178"/>
      <c r="R253" s="180"/>
      <c r="S253" s="180"/>
      <c r="T253" s="180"/>
      <c r="U253" s="178"/>
      <c r="V253" s="180"/>
      <c r="W253" s="180"/>
      <c r="X253" s="180"/>
      <c r="Y253" s="178"/>
      <c r="Z253" s="180"/>
      <c r="AA253" s="180"/>
    </row>
    <row r="254" spans="1:31">
      <c r="A254" s="35"/>
      <c r="B254" s="27"/>
      <c r="C254" s="172" t="s">
        <v>326</v>
      </c>
      <c r="D254" s="164"/>
      <c r="E254" s="37"/>
      <c r="F254" s="33"/>
      <c r="G254" s="34"/>
      <c r="H254" s="68"/>
      <c r="I254" s="161"/>
      <c r="J254" s="163"/>
      <c r="K254" s="163"/>
      <c r="L254" s="163"/>
      <c r="M254" s="161"/>
      <c r="N254" s="163"/>
      <c r="O254" s="163"/>
      <c r="P254" s="163"/>
      <c r="Q254" s="161"/>
      <c r="R254" s="163"/>
      <c r="S254" s="163"/>
      <c r="T254" s="163"/>
      <c r="U254" s="161"/>
      <c r="V254" s="163"/>
      <c r="W254" s="163"/>
      <c r="X254" s="163"/>
      <c r="Y254" s="161"/>
      <c r="Z254" s="163"/>
      <c r="AA254" s="163"/>
    </row>
    <row r="255" spans="1:31" ht="27.6">
      <c r="A255" s="35"/>
      <c r="B255" s="27"/>
      <c r="C255" s="168" t="s">
        <v>1067</v>
      </c>
      <c r="D255" s="164" t="s">
        <v>6</v>
      </c>
      <c r="E255" s="29">
        <f t="shared" ref="E255" si="204">I255+M255+Q255+U255+Y255</f>
        <v>3</v>
      </c>
      <c r="F255" s="32">
        <v>1214.03</v>
      </c>
      <c r="G255" s="32">
        <f t="shared" ref="G255" si="205">K255+O255+S255+W255+AA255</f>
        <v>3642.09</v>
      </c>
      <c r="H255" s="68"/>
      <c r="I255" s="161">
        <v>1</v>
      </c>
      <c r="J255" s="32">
        <v>1214.03</v>
      </c>
      <c r="K255" s="163">
        <f t="shared" ref="K255:K266" si="206">I255*J255</f>
        <v>1214.03</v>
      </c>
      <c r="L255" s="163"/>
      <c r="M255" s="161"/>
      <c r="N255" s="163"/>
      <c r="O255" s="163">
        <f t="shared" ref="O255:O266" si="207">M255*N255</f>
        <v>0</v>
      </c>
      <c r="P255" s="163"/>
      <c r="Q255" s="161">
        <v>1</v>
      </c>
      <c r="R255" s="32">
        <v>1214.03</v>
      </c>
      <c r="S255" s="163">
        <f t="shared" ref="S255:S266" si="208">Q255*R255</f>
        <v>1214.03</v>
      </c>
      <c r="T255" s="163"/>
      <c r="U255" s="161">
        <v>1</v>
      </c>
      <c r="V255" s="32">
        <v>1214.03</v>
      </c>
      <c r="W255" s="163">
        <f t="shared" ref="W255:W266" si="209">U255*V255</f>
        <v>1214.03</v>
      </c>
      <c r="X255" s="163"/>
      <c r="Y255" s="161"/>
      <c r="Z255" s="163"/>
      <c r="AA255" s="163">
        <f t="shared" ref="AA255:AA266" si="210">Y255*Z255</f>
        <v>0</v>
      </c>
    </row>
    <row r="256" spans="1:31" ht="27.6">
      <c r="A256" s="35"/>
      <c r="B256" s="27"/>
      <c r="C256" s="168" t="s">
        <v>1068</v>
      </c>
      <c r="D256" s="164"/>
      <c r="E256" s="37"/>
      <c r="F256" s="33"/>
      <c r="G256" s="34"/>
      <c r="H256" s="68"/>
      <c r="I256" s="161"/>
      <c r="J256" s="163"/>
      <c r="K256" s="163"/>
      <c r="L256" s="163"/>
      <c r="M256" s="161"/>
      <c r="N256" s="163"/>
      <c r="O256" s="163"/>
      <c r="P256" s="163"/>
      <c r="Q256" s="161"/>
      <c r="R256" s="163"/>
      <c r="S256" s="163"/>
      <c r="T256" s="163"/>
      <c r="U256" s="161"/>
      <c r="V256" s="163"/>
      <c r="W256" s="163"/>
      <c r="X256" s="163"/>
      <c r="Y256" s="161"/>
      <c r="Z256" s="163"/>
      <c r="AA256" s="163"/>
    </row>
    <row r="257" spans="1:27" ht="27.6">
      <c r="A257" s="35"/>
      <c r="B257" s="27"/>
      <c r="C257" s="168" t="s">
        <v>1069</v>
      </c>
      <c r="D257" s="164" t="s">
        <v>6</v>
      </c>
      <c r="E257" s="29">
        <f t="shared" ref="E257:E265" si="211">I257+M257+Q257+U257+Y257</f>
        <v>2</v>
      </c>
      <c r="F257" s="32">
        <v>1561.1</v>
      </c>
      <c r="G257" s="32">
        <f t="shared" ref="G257:G266" si="212">K257+O257+S257+W257+AA257</f>
        <v>3122.2</v>
      </c>
      <c r="H257" s="68"/>
      <c r="I257" s="161">
        <v>0</v>
      </c>
      <c r="J257" s="163"/>
      <c r="K257" s="163">
        <f t="shared" si="206"/>
        <v>0</v>
      </c>
      <c r="L257" s="163"/>
      <c r="M257" s="161"/>
      <c r="N257" s="163"/>
      <c r="O257" s="163">
        <f t="shared" si="207"/>
        <v>0</v>
      </c>
      <c r="P257" s="163"/>
      <c r="Q257" s="161">
        <v>1</v>
      </c>
      <c r="R257" s="32">
        <v>1561.1</v>
      </c>
      <c r="S257" s="163">
        <f t="shared" si="208"/>
        <v>1561.1</v>
      </c>
      <c r="T257" s="163"/>
      <c r="U257" s="161">
        <v>1</v>
      </c>
      <c r="V257" s="32">
        <v>1561.1</v>
      </c>
      <c r="W257" s="163">
        <f t="shared" si="209"/>
        <v>1561.1</v>
      </c>
      <c r="X257" s="163"/>
      <c r="Y257" s="161"/>
      <c r="Z257" s="163"/>
      <c r="AA257" s="163">
        <f t="shared" si="210"/>
        <v>0</v>
      </c>
    </row>
    <row r="258" spans="1:27">
      <c r="A258" s="35"/>
      <c r="B258" s="27"/>
      <c r="C258" s="168" t="s">
        <v>1070</v>
      </c>
      <c r="D258" s="164" t="s">
        <v>249</v>
      </c>
      <c r="E258" s="29">
        <f t="shared" si="211"/>
        <v>0</v>
      </c>
      <c r="F258" s="32"/>
      <c r="G258" s="32">
        <f t="shared" si="212"/>
        <v>0</v>
      </c>
      <c r="H258" s="68"/>
      <c r="I258" s="161">
        <v>0</v>
      </c>
      <c r="J258" s="163"/>
      <c r="K258" s="163">
        <f t="shared" si="206"/>
        <v>0</v>
      </c>
      <c r="L258" s="163"/>
      <c r="M258" s="161"/>
      <c r="N258" s="163"/>
      <c r="O258" s="163">
        <f t="shared" si="207"/>
        <v>0</v>
      </c>
      <c r="P258" s="163"/>
      <c r="Q258" s="161"/>
      <c r="R258" s="163"/>
      <c r="S258" s="163">
        <f t="shared" si="208"/>
        <v>0</v>
      </c>
      <c r="T258" s="163"/>
      <c r="U258" s="161"/>
      <c r="V258" s="163"/>
      <c r="W258" s="163">
        <f t="shared" si="209"/>
        <v>0</v>
      </c>
      <c r="X258" s="163"/>
      <c r="Y258" s="161"/>
      <c r="Z258" s="163"/>
      <c r="AA258" s="163">
        <f t="shared" si="210"/>
        <v>0</v>
      </c>
    </row>
    <row r="259" spans="1:27">
      <c r="A259" s="35"/>
      <c r="B259" s="27"/>
      <c r="C259" s="190" t="s">
        <v>1071</v>
      </c>
      <c r="D259" s="164" t="s">
        <v>69</v>
      </c>
      <c r="E259" s="372">
        <f>I259+M259+Q259+U259+Y259</f>
        <v>98</v>
      </c>
      <c r="F259" s="32">
        <v>132.97999999999999</v>
      </c>
      <c r="G259" s="32">
        <f t="shared" si="212"/>
        <v>13032.039999999999</v>
      </c>
      <c r="H259" s="68"/>
      <c r="I259" s="161">
        <v>30</v>
      </c>
      <c r="J259" s="163">
        <v>132.97999999999999</v>
      </c>
      <c r="K259" s="163">
        <f t="shared" si="206"/>
        <v>3989.3999999999996</v>
      </c>
      <c r="L259" s="163"/>
      <c r="M259" s="161"/>
      <c r="N259" s="163"/>
      <c r="O259" s="163">
        <f t="shared" si="207"/>
        <v>0</v>
      </c>
      <c r="P259" s="163"/>
      <c r="Q259" s="161">
        <v>32</v>
      </c>
      <c r="R259" s="163">
        <v>132.97999999999999</v>
      </c>
      <c r="S259" s="163">
        <f t="shared" si="208"/>
        <v>4255.3599999999997</v>
      </c>
      <c r="T259" s="163"/>
      <c r="U259" s="374">
        <f>11+21</f>
        <v>32</v>
      </c>
      <c r="V259" s="163">
        <v>132.97999999999999</v>
      </c>
      <c r="W259" s="163">
        <f t="shared" si="209"/>
        <v>4255.3599999999997</v>
      </c>
      <c r="X259" s="163"/>
      <c r="Y259" s="161">
        <v>4</v>
      </c>
      <c r="Z259" s="163">
        <v>132.97999999999999</v>
      </c>
      <c r="AA259" s="163">
        <f t="shared" si="210"/>
        <v>531.91999999999996</v>
      </c>
    </row>
    <row r="260" spans="1:27" ht="27.6">
      <c r="A260" s="35"/>
      <c r="B260" s="27"/>
      <c r="C260" s="336" t="s">
        <v>1072</v>
      </c>
      <c r="D260" s="164" t="s">
        <v>69</v>
      </c>
      <c r="E260" s="475">
        <f>I260+M260+Q260+U260+Y260</f>
        <v>146</v>
      </c>
      <c r="F260" s="32">
        <v>127.5</v>
      </c>
      <c r="G260" s="32">
        <f>K260+O260+S260+W260+AA260</f>
        <v>18615</v>
      </c>
      <c r="H260" s="68"/>
      <c r="I260" s="374">
        <f>17*2</f>
        <v>34</v>
      </c>
      <c r="J260" s="32">
        <v>127.5</v>
      </c>
      <c r="K260" s="163">
        <f t="shared" ref="K260:K262" si="213">J260*I260</f>
        <v>4335</v>
      </c>
      <c r="L260" s="163"/>
      <c r="M260" s="164"/>
      <c r="N260" s="163"/>
      <c r="O260" s="163">
        <f t="shared" ref="O260:O262" si="214">N260*M260</f>
        <v>0</v>
      </c>
      <c r="P260" s="163"/>
      <c r="Q260" s="161">
        <f>21*2</f>
        <v>42</v>
      </c>
      <c r="R260" s="32">
        <v>127.5</v>
      </c>
      <c r="S260" s="163">
        <f t="shared" ref="S260:S262" si="215">R260*Q260</f>
        <v>5355</v>
      </c>
      <c r="T260" s="163"/>
      <c r="U260" s="374">
        <f>33*2</f>
        <v>66</v>
      </c>
      <c r="V260" s="32">
        <v>127.5</v>
      </c>
      <c r="W260" s="163">
        <f t="shared" ref="W260:W262" si="216">V260*U260</f>
        <v>8415</v>
      </c>
      <c r="X260" s="163"/>
      <c r="Y260" s="371">
        <f>2*2</f>
        <v>4</v>
      </c>
      <c r="Z260" s="163">
        <v>127.5</v>
      </c>
      <c r="AA260" s="163">
        <f t="shared" ref="AA260:AA262" si="217">Z260*Y260</f>
        <v>510</v>
      </c>
    </row>
    <row r="261" spans="1:27" ht="27.6">
      <c r="A261" s="35"/>
      <c r="B261" s="27"/>
      <c r="C261" s="336" t="s">
        <v>1073</v>
      </c>
      <c r="D261" s="371" t="s">
        <v>69</v>
      </c>
      <c r="E261" s="372">
        <f t="shared" ref="E261:E262" si="218">I261+M261+Q261+U261+Y261</f>
        <v>48</v>
      </c>
      <c r="F261" s="367">
        <v>127.5</v>
      </c>
      <c r="G261" s="367">
        <f t="shared" si="212"/>
        <v>6120</v>
      </c>
      <c r="H261" s="68"/>
      <c r="I261" s="374">
        <f>2*4</f>
        <v>8</v>
      </c>
      <c r="J261" s="367">
        <v>127.5</v>
      </c>
      <c r="K261" s="373">
        <f t="shared" si="213"/>
        <v>1020</v>
      </c>
      <c r="L261" s="163"/>
      <c r="M261" s="164"/>
      <c r="N261" s="163"/>
      <c r="O261" s="163"/>
      <c r="P261" s="163"/>
      <c r="Q261" s="161"/>
      <c r="R261" s="386"/>
      <c r="S261" s="163"/>
      <c r="T261" s="163"/>
      <c r="U261" s="374">
        <f>4*4</f>
        <v>16</v>
      </c>
      <c r="V261" s="367">
        <v>127.5</v>
      </c>
      <c r="W261" s="373">
        <f t="shared" si="216"/>
        <v>2040</v>
      </c>
      <c r="X261" s="163"/>
      <c r="Y261" s="371">
        <f>6*4</f>
        <v>24</v>
      </c>
      <c r="Z261" s="367">
        <v>127.5</v>
      </c>
      <c r="AA261" s="373">
        <f t="shared" si="217"/>
        <v>3060</v>
      </c>
    </row>
    <row r="262" spans="1:27" ht="27.6">
      <c r="A262" s="35"/>
      <c r="B262" s="27"/>
      <c r="C262" s="336" t="s">
        <v>1074</v>
      </c>
      <c r="D262" s="164" t="s">
        <v>69</v>
      </c>
      <c r="E262" s="29">
        <f t="shared" si="218"/>
        <v>35</v>
      </c>
      <c r="F262" s="32">
        <v>127.5</v>
      </c>
      <c r="G262" s="32">
        <f t="shared" si="212"/>
        <v>4462.5</v>
      </c>
      <c r="H262" s="68"/>
      <c r="I262" s="161">
        <f>7*5</f>
        <v>35</v>
      </c>
      <c r="J262" s="32">
        <v>127.5</v>
      </c>
      <c r="K262" s="163">
        <f t="shared" si="213"/>
        <v>4462.5</v>
      </c>
      <c r="L262" s="163"/>
      <c r="M262" s="164"/>
      <c r="N262" s="163"/>
      <c r="O262" s="163">
        <f t="shared" si="214"/>
        <v>0</v>
      </c>
      <c r="P262" s="163"/>
      <c r="Q262" s="164"/>
      <c r="R262" s="163"/>
      <c r="S262" s="163">
        <f t="shared" si="215"/>
        <v>0</v>
      </c>
      <c r="T262" s="163"/>
      <c r="U262" s="164"/>
      <c r="V262" s="163"/>
      <c r="W262" s="163">
        <f t="shared" si="216"/>
        <v>0</v>
      </c>
      <c r="X262" s="163"/>
      <c r="Y262" s="164"/>
      <c r="Z262" s="163"/>
      <c r="AA262" s="163">
        <f t="shared" si="217"/>
        <v>0</v>
      </c>
    </row>
    <row r="263" spans="1:27">
      <c r="A263" s="35"/>
      <c r="B263" s="27"/>
      <c r="C263" s="190" t="s">
        <v>1075</v>
      </c>
      <c r="D263" s="164" t="s">
        <v>69</v>
      </c>
      <c r="E263" s="29">
        <f>I263+M263+Q263+U263+Y263</f>
        <v>8</v>
      </c>
      <c r="F263" s="32">
        <v>101.22</v>
      </c>
      <c r="G263" s="32">
        <f t="shared" si="212"/>
        <v>809.76</v>
      </c>
      <c r="H263" s="68"/>
      <c r="I263" s="161">
        <v>0</v>
      </c>
      <c r="J263" s="163">
        <v>101.22</v>
      </c>
      <c r="K263" s="163">
        <f t="shared" si="206"/>
        <v>0</v>
      </c>
      <c r="L263" s="163"/>
      <c r="M263" s="161"/>
      <c r="N263" s="163"/>
      <c r="O263" s="163">
        <f t="shared" si="207"/>
        <v>0</v>
      </c>
      <c r="P263" s="163"/>
      <c r="Q263" s="161">
        <v>2</v>
      </c>
      <c r="R263" s="163">
        <v>101.22</v>
      </c>
      <c r="S263" s="163">
        <f t="shared" si="208"/>
        <v>202.44</v>
      </c>
      <c r="T263" s="163"/>
      <c r="U263" s="161">
        <v>6</v>
      </c>
      <c r="V263" s="163">
        <v>101.22</v>
      </c>
      <c r="W263" s="163">
        <f t="shared" si="209"/>
        <v>607.31999999999994</v>
      </c>
      <c r="X263" s="163"/>
      <c r="Y263" s="161"/>
      <c r="Z263" s="163"/>
      <c r="AA263" s="163">
        <f t="shared" si="210"/>
        <v>0</v>
      </c>
    </row>
    <row r="264" spans="1:27" ht="27.6">
      <c r="A264" s="35"/>
      <c r="B264" s="27"/>
      <c r="C264" s="168" t="s">
        <v>1076</v>
      </c>
      <c r="D264" s="164" t="s">
        <v>69</v>
      </c>
      <c r="E264" s="29">
        <f t="shared" si="211"/>
        <v>327</v>
      </c>
      <c r="F264" s="32">
        <v>10.15</v>
      </c>
      <c r="G264" s="32">
        <f t="shared" si="212"/>
        <v>3319.05</v>
      </c>
      <c r="H264" s="68"/>
      <c r="I264" s="161">
        <f>I259+I260+I261+I262</f>
        <v>107</v>
      </c>
      <c r="J264" s="32">
        <v>10.15</v>
      </c>
      <c r="K264" s="163">
        <f t="shared" si="206"/>
        <v>1086.05</v>
      </c>
      <c r="L264" s="163"/>
      <c r="M264" s="161">
        <f>M259+M260+M261+M262</f>
        <v>0</v>
      </c>
      <c r="N264" s="32"/>
      <c r="O264" s="163">
        <f t="shared" si="207"/>
        <v>0</v>
      </c>
      <c r="P264" s="163"/>
      <c r="Q264" s="161">
        <f>Q259+Q260+Q261+Q262</f>
        <v>74</v>
      </c>
      <c r="R264" s="32">
        <v>10.15</v>
      </c>
      <c r="S264" s="163">
        <f t="shared" si="208"/>
        <v>751.1</v>
      </c>
      <c r="T264" s="163"/>
      <c r="U264" s="161">
        <f>U259+U260+U261+U262</f>
        <v>114</v>
      </c>
      <c r="V264" s="32">
        <v>10.15</v>
      </c>
      <c r="W264" s="163">
        <f t="shared" si="209"/>
        <v>1157.1000000000001</v>
      </c>
      <c r="X264" s="163"/>
      <c r="Y264" s="161">
        <f>Y259+Y260+Y261+Y262</f>
        <v>32</v>
      </c>
      <c r="Z264" s="32">
        <v>10.15</v>
      </c>
      <c r="AA264" s="163">
        <f t="shared" si="210"/>
        <v>324.8</v>
      </c>
    </row>
    <row r="265" spans="1:27">
      <c r="A265" s="35"/>
      <c r="B265" s="27"/>
      <c r="C265" s="168" t="s">
        <v>1077</v>
      </c>
      <c r="D265" s="164" t="s">
        <v>249</v>
      </c>
      <c r="E265" s="29">
        <f t="shared" si="211"/>
        <v>0</v>
      </c>
      <c r="F265" s="32"/>
      <c r="G265" s="32">
        <f t="shared" si="212"/>
        <v>0</v>
      </c>
      <c r="H265" s="68"/>
      <c r="I265" s="161">
        <v>0</v>
      </c>
      <c r="J265" s="163"/>
      <c r="K265" s="163">
        <f t="shared" si="206"/>
        <v>0</v>
      </c>
      <c r="L265" s="163"/>
      <c r="M265" s="161"/>
      <c r="N265" s="163"/>
      <c r="O265" s="163">
        <f t="shared" si="207"/>
        <v>0</v>
      </c>
      <c r="P265" s="163"/>
      <c r="Q265" s="161"/>
      <c r="R265" s="163"/>
      <c r="S265" s="163">
        <f t="shared" si="208"/>
        <v>0</v>
      </c>
      <c r="T265" s="163"/>
      <c r="U265" s="161"/>
      <c r="V265" s="163"/>
      <c r="W265" s="163">
        <f t="shared" si="209"/>
        <v>0</v>
      </c>
      <c r="X265" s="163"/>
      <c r="Y265" s="161"/>
      <c r="Z265" s="163"/>
      <c r="AA265" s="163">
        <f t="shared" si="210"/>
        <v>0</v>
      </c>
    </row>
    <row r="266" spans="1:27" ht="27.6">
      <c r="A266" s="35"/>
      <c r="B266" s="27"/>
      <c r="C266" s="168" t="s">
        <v>1078</v>
      </c>
      <c r="D266" s="164" t="s">
        <v>69</v>
      </c>
      <c r="E266" s="475">
        <f>I266+M266+Q266+U266+Y266</f>
        <v>360</v>
      </c>
      <c r="F266" s="32">
        <v>6.49</v>
      </c>
      <c r="G266" s="32">
        <f t="shared" si="212"/>
        <v>2336.4</v>
      </c>
      <c r="H266" s="68"/>
      <c r="I266" s="161">
        <v>118</v>
      </c>
      <c r="J266" s="163">
        <v>6.49</v>
      </c>
      <c r="K266" s="163">
        <f t="shared" si="206"/>
        <v>765.82</v>
      </c>
      <c r="L266" s="163"/>
      <c r="M266" s="161">
        <f>ROUND(M264*1.1,0)</f>
        <v>0</v>
      </c>
      <c r="N266" s="163"/>
      <c r="O266" s="163">
        <f t="shared" si="207"/>
        <v>0</v>
      </c>
      <c r="P266" s="163"/>
      <c r="Q266" s="161">
        <v>81</v>
      </c>
      <c r="R266" s="163">
        <v>6.49</v>
      </c>
      <c r="S266" s="163">
        <f t="shared" si="208"/>
        <v>525.69000000000005</v>
      </c>
      <c r="T266" s="163"/>
      <c r="U266" s="161">
        <v>126</v>
      </c>
      <c r="V266" s="163">
        <v>6.49</v>
      </c>
      <c r="W266" s="163">
        <f t="shared" si="209"/>
        <v>817.74</v>
      </c>
      <c r="X266" s="163"/>
      <c r="Y266" s="161">
        <v>35</v>
      </c>
      <c r="Z266" s="163">
        <v>6.49</v>
      </c>
      <c r="AA266" s="163">
        <f t="shared" si="210"/>
        <v>227.15</v>
      </c>
    </row>
    <row r="267" spans="1:27">
      <c r="A267" s="35"/>
      <c r="B267" s="27"/>
      <c r="C267" s="168"/>
      <c r="D267" s="164"/>
      <c r="E267" s="37"/>
      <c r="F267" s="33"/>
      <c r="G267" s="34"/>
      <c r="H267" s="68"/>
      <c r="I267" s="161"/>
      <c r="J267" s="163"/>
      <c r="K267" s="163"/>
      <c r="L267" s="163"/>
      <c r="M267" s="161"/>
      <c r="N267" s="163"/>
      <c r="O267" s="163"/>
      <c r="P267" s="163"/>
      <c r="Q267" s="161"/>
      <c r="R267" s="163"/>
      <c r="S267" s="163"/>
      <c r="T267" s="163"/>
      <c r="U267" s="161"/>
      <c r="V267" s="163"/>
      <c r="W267" s="163"/>
      <c r="X267" s="163"/>
      <c r="Y267" s="161"/>
      <c r="Z267" s="163"/>
      <c r="AA267" s="163"/>
    </row>
    <row r="268" spans="1:27">
      <c r="A268" s="35"/>
      <c r="B268" s="27"/>
      <c r="C268" s="172" t="s">
        <v>1079</v>
      </c>
      <c r="D268" s="164"/>
      <c r="E268" s="29"/>
      <c r="F268" s="33" t="s">
        <v>10</v>
      </c>
      <c r="G268" s="34">
        <f>K268+O268+S268+W268+AA268</f>
        <v>55459.040000000001</v>
      </c>
      <c r="H268" s="68"/>
      <c r="I268" s="161"/>
      <c r="J268" s="33" t="s">
        <v>10</v>
      </c>
      <c r="K268" s="34">
        <f>SUM(K253:K267)</f>
        <v>16872.8</v>
      </c>
      <c r="L268" s="163"/>
      <c r="M268" s="161"/>
      <c r="N268" s="33" t="s">
        <v>10</v>
      </c>
      <c r="O268" s="34">
        <f>SUM(O253:O267)</f>
        <v>0</v>
      </c>
      <c r="P268" s="163"/>
      <c r="Q268" s="161"/>
      <c r="R268" s="33" t="s">
        <v>10</v>
      </c>
      <c r="S268" s="34">
        <f>SUM(S253:S267)</f>
        <v>13864.720000000001</v>
      </c>
      <c r="T268" s="163"/>
      <c r="U268" s="161"/>
      <c r="V268" s="33" t="s">
        <v>10</v>
      </c>
      <c r="W268" s="34">
        <f>SUM(W253:W267)</f>
        <v>20067.649999999998</v>
      </c>
      <c r="X268" s="163"/>
      <c r="Y268" s="161"/>
      <c r="Z268" s="33" t="s">
        <v>10</v>
      </c>
      <c r="AA268" s="34">
        <f>SUM(AA253:AA267)</f>
        <v>4653.87</v>
      </c>
    </row>
    <row r="269" spans="1:27">
      <c r="A269" s="35"/>
      <c r="B269" s="27"/>
      <c r="C269" s="169"/>
      <c r="D269" s="164"/>
      <c r="E269" s="37"/>
      <c r="F269" s="33"/>
      <c r="G269" s="34"/>
      <c r="H269" s="68"/>
      <c r="I269" s="161"/>
      <c r="J269" s="163"/>
      <c r="K269" s="163"/>
      <c r="L269" s="163"/>
      <c r="M269" s="161"/>
      <c r="N269" s="163"/>
      <c r="O269" s="163"/>
      <c r="P269" s="163"/>
      <c r="Q269" s="161"/>
      <c r="R269" s="163"/>
      <c r="S269" s="163"/>
      <c r="T269" s="163"/>
      <c r="U269" s="161"/>
      <c r="V269" s="163"/>
      <c r="W269" s="163"/>
      <c r="X269" s="163"/>
      <c r="Y269" s="161"/>
      <c r="Z269" s="163"/>
      <c r="AA269" s="163"/>
    </row>
    <row r="270" spans="1:27">
      <c r="A270" s="35"/>
      <c r="B270" s="27"/>
      <c r="C270" s="169"/>
      <c r="D270" s="164"/>
      <c r="E270" s="37"/>
      <c r="F270" s="33"/>
      <c r="G270" s="34"/>
      <c r="H270" s="88"/>
      <c r="I270" s="161"/>
      <c r="J270" s="163"/>
      <c r="K270" s="163"/>
      <c r="L270" s="163"/>
      <c r="M270" s="161"/>
      <c r="N270" s="163"/>
      <c r="O270" s="163"/>
      <c r="P270" s="163"/>
      <c r="Q270" s="161"/>
      <c r="R270" s="163"/>
      <c r="S270" s="163"/>
      <c r="T270" s="163"/>
      <c r="U270" s="161"/>
      <c r="V270" s="163"/>
      <c r="W270" s="163"/>
      <c r="X270" s="163"/>
      <c r="Y270" s="161"/>
      <c r="Z270" s="163"/>
      <c r="AA270" s="163"/>
    </row>
    <row r="271" spans="1:27">
      <c r="A271" s="14"/>
      <c r="B271" s="62" t="s">
        <v>83</v>
      </c>
      <c r="C271" s="173" t="s">
        <v>1080</v>
      </c>
      <c r="D271" s="174"/>
      <c r="E271" s="65"/>
      <c r="F271" s="66"/>
      <c r="G271" s="66"/>
      <c r="H271" s="64"/>
      <c r="I271" s="178"/>
      <c r="J271" s="180"/>
      <c r="K271" s="180"/>
      <c r="L271" s="180"/>
      <c r="M271" s="178"/>
      <c r="N271" s="180"/>
      <c r="O271" s="180"/>
      <c r="P271" s="180"/>
      <c r="Q271" s="178"/>
      <c r="R271" s="180"/>
      <c r="S271" s="180"/>
      <c r="T271" s="180"/>
      <c r="U271" s="178"/>
      <c r="V271" s="180"/>
      <c r="W271" s="180"/>
      <c r="X271" s="180"/>
      <c r="Y271" s="178"/>
      <c r="Z271" s="180"/>
      <c r="AA271" s="180"/>
    </row>
    <row r="272" spans="1:27">
      <c r="A272" s="35"/>
      <c r="B272" s="27"/>
      <c r="C272" s="167" t="s">
        <v>1081</v>
      </c>
      <c r="D272" s="164"/>
      <c r="E272" s="37"/>
      <c r="F272" s="33"/>
      <c r="G272" s="34"/>
      <c r="H272" s="68"/>
      <c r="I272" s="161"/>
      <c r="J272" s="163"/>
      <c r="K272" s="163"/>
      <c r="L272" s="163"/>
      <c r="M272" s="161"/>
      <c r="N272" s="163"/>
      <c r="O272" s="163"/>
      <c r="P272" s="163"/>
      <c r="Q272" s="161"/>
      <c r="R272" s="163"/>
      <c r="S272" s="163"/>
      <c r="T272" s="163"/>
      <c r="U272" s="161"/>
      <c r="V272" s="163"/>
      <c r="W272" s="163"/>
      <c r="X272" s="163"/>
      <c r="Y272" s="161"/>
      <c r="Z272" s="163"/>
      <c r="AA272" s="163"/>
    </row>
    <row r="273" spans="1:27">
      <c r="A273" s="35"/>
      <c r="B273" s="27"/>
      <c r="C273" s="169" t="s">
        <v>1082</v>
      </c>
      <c r="D273" s="371" t="s">
        <v>920</v>
      </c>
      <c r="E273" s="372">
        <f t="shared" ref="E273:E274" si="219">I273+M273+Q273+U273+Y273</f>
        <v>0</v>
      </c>
      <c r="F273" s="32"/>
      <c r="G273" s="32">
        <f t="shared" ref="G273:G275" si="220">K273+O273+S273+W273+AA273</f>
        <v>0</v>
      </c>
      <c r="H273" s="68"/>
      <c r="I273" s="161">
        <v>0</v>
      </c>
      <c r="J273" s="163"/>
      <c r="K273" s="163">
        <f t="shared" ref="K273:K275" si="221">I273*J273</f>
        <v>0</v>
      </c>
      <c r="L273" s="163"/>
      <c r="M273" s="161"/>
      <c r="N273" s="163"/>
      <c r="O273" s="163">
        <f t="shared" ref="O273:O275" si="222">M273*N273</f>
        <v>0</v>
      </c>
      <c r="P273" s="163"/>
      <c r="Q273" s="161"/>
      <c r="R273" s="163"/>
      <c r="S273" s="163">
        <f t="shared" ref="S273:S275" si="223">Q273*R273</f>
        <v>0</v>
      </c>
      <c r="T273" s="163"/>
      <c r="U273" s="161"/>
      <c r="V273" s="163"/>
      <c r="W273" s="163">
        <f t="shared" ref="W273:W275" si="224">U273*V273</f>
        <v>0</v>
      </c>
      <c r="X273" s="163"/>
      <c r="Y273" s="161"/>
      <c r="Z273" s="163"/>
      <c r="AA273" s="163">
        <f t="shared" ref="AA273:AA275" si="225">Y273*Z273</f>
        <v>0</v>
      </c>
    </row>
    <row r="274" spans="1:27">
      <c r="A274" s="35"/>
      <c r="B274" s="27"/>
      <c r="C274" s="169" t="s">
        <v>1083</v>
      </c>
      <c r="D274" s="371" t="s">
        <v>920</v>
      </c>
      <c r="E274" s="372">
        <f t="shared" si="219"/>
        <v>0</v>
      </c>
      <c r="F274" s="32"/>
      <c r="G274" s="32">
        <f t="shared" si="220"/>
        <v>0</v>
      </c>
      <c r="H274" s="68"/>
      <c r="I274" s="161"/>
      <c r="J274" s="163"/>
      <c r="K274" s="163">
        <f t="shared" si="221"/>
        <v>0</v>
      </c>
      <c r="L274" s="163"/>
      <c r="M274" s="161">
        <v>0</v>
      </c>
      <c r="N274" s="163"/>
      <c r="O274" s="163">
        <f t="shared" si="222"/>
        <v>0</v>
      </c>
      <c r="P274" s="163"/>
      <c r="Q274" s="161">
        <v>0</v>
      </c>
      <c r="R274" s="163"/>
      <c r="S274" s="163">
        <f t="shared" si="223"/>
        <v>0</v>
      </c>
      <c r="T274" s="163"/>
      <c r="U274" s="161">
        <v>0</v>
      </c>
      <c r="V274" s="163"/>
      <c r="W274" s="163">
        <f t="shared" si="224"/>
        <v>0</v>
      </c>
      <c r="X274" s="163"/>
      <c r="Y274" s="161"/>
      <c r="Z274" s="163"/>
      <c r="AA274" s="163">
        <f t="shared" si="225"/>
        <v>0</v>
      </c>
    </row>
    <row r="275" spans="1:27">
      <c r="A275" s="35"/>
      <c r="B275" s="27"/>
      <c r="C275" s="169" t="s">
        <v>1084</v>
      </c>
      <c r="D275" s="164" t="s">
        <v>249</v>
      </c>
      <c r="E275" s="29"/>
      <c r="F275" s="32"/>
      <c r="G275" s="32">
        <f t="shared" si="220"/>
        <v>0</v>
      </c>
      <c r="H275" s="68"/>
      <c r="I275" s="161">
        <v>0</v>
      </c>
      <c r="J275" s="163"/>
      <c r="K275" s="163">
        <f t="shared" si="221"/>
        <v>0</v>
      </c>
      <c r="L275" s="163"/>
      <c r="M275" s="161"/>
      <c r="N275" s="163"/>
      <c r="O275" s="163">
        <f t="shared" si="222"/>
        <v>0</v>
      </c>
      <c r="P275" s="163"/>
      <c r="Q275" s="161"/>
      <c r="R275" s="163"/>
      <c r="S275" s="163">
        <f t="shared" si="223"/>
        <v>0</v>
      </c>
      <c r="T275" s="163"/>
      <c r="U275" s="161"/>
      <c r="V275" s="163"/>
      <c r="W275" s="163">
        <f t="shared" si="224"/>
        <v>0</v>
      </c>
      <c r="X275" s="163"/>
      <c r="Y275" s="161"/>
      <c r="Z275" s="163"/>
      <c r="AA275" s="163">
        <f t="shared" si="225"/>
        <v>0</v>
      </c>
    </row>
    <row r="276" spans="1:27">
      <c r="A276" s="35"/>
      <c r="B276" s="27"/>
      <c r="C276" s="169"/>
      <c r="D276" s="164"/>
      <c r="E276" s="37"/>
      <c r="F276" s="33"/>
      <c r="G276" s="34"/>
      <c r="H276" s="68"/>
      <c r="I276" s="161"/>
      <c r="J276" s="163"/>
      <c r="K276" s="163"/>
      <c r="L276" s="163"/>
      <c r="M276" s="161"/>
      <c r="N276" s="163"/>
      <c r="O276" s="163"/>
      <c r="P276" s="163"/>
      <c r="Q276" s="161"/>
      <c r="R276" s="163"/>
      <c r="S276" s="163"/>
      <c r="T276" s="163"/>
      <c r="U276" s="161"/>
      <c r="V276" s="163"/>
      <c r="W276" s="163"/>
      <c r="X276" s="163"/>
      <c r="Y276" s="161"/>
      <c r="Z276" s="163"/>
      <c r="AA276" s="163"/>
    </row>
    <row r="277" spans="1:27">
      <c r="A277" s="35"/>
      <c r="B277" s="27"/>
      <c r="C277" s="167" t="s">
        <v>1085</v>
      </c>
      <c r="D277" s="164"/>
      <c r="E277" s="37"/>
      <c r="F277" s="33"/>
      <c r="G277" s="34"/>
      <c r="H277" s="68"/>
      <c r="I277" s="161"/>
      <c r="J277" s="163"/>
      <c r="K277" s="163"/>
      <c r="L277" s="163"/>
      <c r="M277" s="161"/>
      <c r="N277" s="163"/>
      <c r="O277" s="163"/>
      <c r="P277" s="163"/>
      <c r="Q277" s="161"/>
      <c r="R277" s="163"/>
      <c r="S277" s="163"/>
      <c r="T277" s="163"/>
      <c r="U277" s="161"/>
      <c r="V277" s="163"/>
      <c r="W277" s="163"/>
      <c r="X277" s="163"/>
      <c r="Y277" s="161"/>
      <c r="Z277" s="163"/>
      <c r="AA277" s="163"/>
    </row>
    <row r="278" spans="1:27">
      <c r="A278" s="35"/>
      <c r="B278" s="27"/>
      <c r="C278" s="169" t="s">
        <v>327</v>
      </c>
      <c r="D278" s="164" t="s">
        <v>69</v>
      </c>
      <c r="E278" s="29">
        <f t="shared" ref="E278:E281" si="226">I278+M278+Q278+U278+Y278</f>
        <v>1</v>
      </c>
      <c r="F278" s="32">
        <v>2826.6</v>
      </c>
      <c r="G278" s="32">
        <f t="shared" ref="G278:G281" si="227">K278+O278+S278+W278+AA278</f>
        <v>2826.6</v>
      </c>
      <c r="H278" s="68"/>
      <c r="I278" s="161">
        <v>1</v>
      </c>
      <c r="J278" s="32">
        <v>2826.6</v>
      </c>
      <c r="K278" s="163">
        <f t="shared" ref="K278:K281" si="228">I278*J278</f>
        <v>2826.6</v>
      </c>
      <c r="L278" s="163"/>
      <c r="M278" s="161"/>
      <c r="N278" s="163"/>
      <c r="O278" s="163">
        <f t="shared" ref="O278:O281" si="229">M278*N278</f>
        <v>0</v>
      </c>
      <c r="P278" s="163"/>
      <c r="Q278" s="161"/>
      <c r="R278" s="163"/>
      <c r="S278" s="163">
        <f t="shared" ref="S278:S281" si="230">Q278*R278</f>
        <v>0</v>
      </c>
      <c r="T278" s="163"/>
      <c r="U278" s="161"/>
      <c r="V278" s="163"/>
      <c r="W278" s="163">
        <f t="shared" ref="W278:W281" si="231">U278*V278</f>
        <v>0</v>
      </c>
      <c r="X278" s="163"/>
      <c r="Y278" s="161"/>
      <c r="Z278" s="163"/>
      <c r="AA278" s="163">
        <f t="shared" ref="AA278:AA281" si="232">Y278*Z278</f>
        <v>0</v>
      </c>
    </row>
    <row r="279" spans="1:27" ht="27.6">
      <c r="A279" s="35"/>
      <c r="B279" s="27"/>
      <c r="C279" s="169" t="s">
        <v>1086</v>
      </c>
      <c r="D279" s="164" t="s">
        <v>69</v>
      </c>
      <c r="E279" s="29">
        <f t="shared" si="226"/>
        <v>1</v>
      </c>
      <c r="F279" s="32">
        <v>8737.2999999999993</v>
      </c>
      <c r="G279" s="32">
        <f t="shared" si="227"/>
        <v>8737.2999999999993</v>
      </c>
      <c r="H279" s="68"/>
      <c r="I279" s="374">
        <v>1</v>
      </c>
      <c r="J279" s="32">
        <v>8737.2999999999993</v>
      </c>
      <c r="K279" s="163">
        <f t="shared" si="228"/>
        <v>8737.2999999999993</v>
      </c>
      <c r="L279" s="163"/>
      <c r="M279" s="161"/>
      <c r="N279" s="163"/>
      <c r="O279" s="163">
        <f t="shared" si="229"/>
        <v>0</v>
      </c>
      <c r="P279" s="163"/>
      <c r="Q279" s="161"/>
      <c r="R279" s="163"/>
      <c r="S279" s="163">
        <f t="shared" si="230"/>
        <v>0</v>
      </c>
      <c r="T279" s="163"/>
      <c r="U279" s="161"/>
      <c r="V279" s="163"/>
      <c r="W279" s="163">
        <f t="shared" si="231"/>
        <v>0</v>
      </c>
      <c r="X279" s="163"/>
      <c r="Y279" s="161"/>
      <c r="Z279" s="163"/>
      <c r="AA279" s="163">
        <f t="shared" si="232"/>
        <v>0</v>
      </c>
    </row>
    <row r="280" spans="1:27">
      <c r="A280" s="35"/>
      <c r="B280" s="27"/>
      <c r="C280" s="169" t="s">
        <v>1087</v>
      </c>
      <c r="D280" s="164" t="s">
        <v>69</v>
      </c>
      <c r="E280" s="29">
        <f t="shared" si="226"/>
        <v>1</v>
      </c>
      <c r="F280" s="32">
        <v>2164.9</v>
      </c>
      <c r="G280" s="32">
        <f t="shared" si="227"/>
        <v>2164.9</v>
      </c>
      <c r="H280" s="68"/>
      <c r="I280" s="161">
        <v>1</v>
      </c>
      <c r="J280" s="32">
        <v>2164.9</v>
      </c>
      <c r="K280" s="163">
        <f t="shared" si="228"/>
        <v>2164.9</v>
      </c>
      <c r="L280" s="163"/>
      <c r="M280" s="161"/>
      <c r="N280" s="163"/>
      <c r="O280" s="163">
        <f t="shared" si="229"/>
        <v>0</v>
      </c>
      <c r="P280" s="163"/>
      <c r="Q280" s="161"/>
      <c r="R280" s="163"/>
      <c r="S280" s="163">
        <f t="shared" si="230"/>
        <v>0</v>
      </c>
      <c r="T280" s="163"/>
      <c r="U280" s="161"/>
      <c r="V280" s="163"/>
      <c r="W280" s="163">
        <f t="shared" si="231"/>
        <v>0</v>
      </c>
      <c r="X280" s="163"/>
      <c r="Y280" s="161"/>
      <c r="Z280" s="163"/>
      <c r="AA280" s="163">
        <f t="shared" si="232"/>
        <v>0</v>
      </c>
    </row>
    <row r="281" spans="1:27">
      <c r="A281" s="35"/>
      <c r="B281" s="27"/>
      <c r="C281" s="169" t="s">
        <v>1088</v>
      </c>
      <c r="D281" s="164" t="s">
        <v>69</v>
      </c>
      <c r="E281" s="29">
        <f t="shared" si="226"/>
        <v>2</v>
      </c>
      <c r="F281" s="32">
        <v>765.1</v>
      </c>
      <c r="G281" s="32">
        <f t="shared" si="227"/>
        <v>1530.2</v>
      </c>
      <c r="H281" s="68"/>
      <c r="I281" s="161">
        <v>0</v>
      </c>
      <c r="J281" s="163"/>
      <c r="K281" s="163">
        <f t="shared" si="228"/>
        <v>0</v>
      </c>
      <c r="L281" s="163"/>
      <c r="M281" s="161"/>
      <c r="N281" s="163"/>
      <c r="O281" s="163">
        <f t="shared" si="229"/>
        <v>0</v>
      </c>
      <c r="P281" s="163"/>
      <c r="Q281" s="161"/>
      <c r="R281" s="163"/>
      <c r="S281" s="163">
        <f t="shared" si="230"/>
        <v>0</v>
      </c>
      <c r="T281" s="163"/>
      <c r="U281" s="161">
        <v>2</v>
      </c>
      <c r="V281" s="32">
        <v>765.1</v>
      </c>
      <c r="W281" s="163">
        <f t="shared" si="231"/>
        <v>1530.2</v>
      </c>
      <c r="X281" s="163"/>
      <c r="Y281" s="161"/>
      <c r="Z281" s="163"/>
      <c r="AA281" s="163">
        <f t="shared" si="232"/>
        <v>0</v>
      </c>
    </row>
    <row r="282" spans="1:27">
      <c r="A282" s="35"/>
      <c r="B282" s="27"/>
      <c r="C282" s="169"/>
      <c r="D282" s="164"/>
      <c r="E282" s="37"/>
      <c r="F282" s="33"/>
      <c r="G282" s="34"/>
      <c r="H282" s="68"/>
      <c r="I282" s="161"/>
      <c r="J282" s="163"/>
      <c r="K282" s="163"/>
      <c r="L282" s="163"/>
      <c r="M282" s="161"/>
      <c r="N282" s="163"/>
      <c r="O282" s="163"/>
      <c r="P282" s="163"/>
      <c r="Q282" s="161"/>
      <c r="R282" s="163"/>
      <c r="S282" s="163"/>
      <c r="T282" s="163"/>
      <c r="U282" s="161"/>
      <c r="V282" s="163"/>
      <c r="W282" s="163"/>
      <c r="X282" s="163"/>
      <c r="Y282" s="161"/>
      <c r="Z282" s="163"/>
      <c r="AA282" s="163"/>
    </row>
    <row r="283" spans="1:27">
      <c r="A283" s="35"/>
      <c r="B283" s="27"/>
      <c r="C283" s="167" t="s">
        <v>1089</v>
      </c>
      <c r="D283" s="164"/>
      <c r="E283" s="37"/>
      <c r="F283" s="33"/>
      <c r="G283" s="34"/>
      <c r="H283" s="68"/>
      <c r="I283" s="161"/>
      <c r="J283" s="163"/>
      <c r="K283" s="163"/>
      <c r="L283" s="163"/>
      <c r="M283" s="161"/>
      <c r="N283" s="163"/>
      <c r="O283" s="163"/>
      <c r="P283" s="163"/>
      <c r="Q283" s="161"/>
      <c r="R283" s="163"/>
      <c r="S283" s="163"/>
      <c r="T283" s="163"/>
      <c r="U283" s="161"/>
      <c r="V283" s="163"/>
      <c r="W283" s="163"/>
      <c r="X283" s="163"/>
      <c r="Y283" s="161"/>
      <c r="Z283" s="163"/>
      <c r="AA283" s="163"/>
    </row>
    <row r="284" spans="1:27">
      <c r="A284" s="35"/>
      <c r="B284" s="27"/>
      <c r="C284" s="169" t="s">
        <v>1090</v>
      </c>
      <c r="D284" s="164" t="s">
        <v>69</v>
      </c>
      <c r="E284" s="39">
        <f t="shared" ref="E284:E289" si="233">I284+M284+Q284+U284+Y284</f>
        <v>51</v>
      </c>
      <c r="F284" s="32">
        <v>219.74</v>
      </c>
      <c r="G284" s="32">
        <f t="shared" ref="G284:G290" si="234">K284+O284+S284+W284+AA284</f>
        <v>11206.740000000002</v>
      </c>
      <c r="H284" s="68"/>
      <c r="I284" s="161">
        <v>0</v>
      </c>
      <c r="J284" s="163"/>
      <c r="K284" s="163">
        <f t="shared" ref="K284:K290" si="235">I284*J284</f>
        <v>0</v>
      </c>
      <c r="L284" s="163"/>
      <c r="M284" s="161">
        <v>4</v>
      </c>
      <c r="N284" s="32">
        <v>219.74</v>
      </c>
      <c r="O284" s="163">
        <f t="shared" ref="O284:O290" si="236">M284*N284</f>
        <v>878.96</v>
      </c>
      <c r="P284" s="163"/>
      <c r="Q284" s="161">
        <v>16</v>
      </c>
      <c r="R284" s="32">
        <v>219.74</v>
      </c>
      <c r="S284" s="163">
        <f t="shared" ref="S284:S290" si="237">Q284*R284</f>
        <v>3515.84</v>
      </c>
      <c r="T284" s="163"/>
      <c r="U284" s="161">
        <v>31</v>
      </c>
      <c r="V284" s="32">
        <v>219.74</v>
      </c>
      <c r="W284" s="163">
        <f t="shared" ref="W284:W290" si="238">U284*V284</f>
        <v>6811.9400000000005</v>
      </c>
      <c r="X284" s="163"/>
      <c r="Y284" s="161"/>
      <c r="Z284" s="163"/>
      <c r="AA284" s="163">
        <f t="shared" ref="AA284:AA290" si="239">Y284*Z284</f>
        <v>0</v>
      </c>
    </row>
    <row r="285" spans="1:27">
      <c r="A285" s="35"/>
      <c r="B285" s="27"/>
      <c r="C285" s="169" t="s">
        <v>1091</v>
      </c>
      <c r="D285" s="164" t="s">
        <v>69</v>
      </c>
      <c r="E285" s="29">
        <f t="shared" si="233"/>
        <v>33</v>
      </c>
      <c r="F285" s="32">
        <v>300.18</v>
      </c>
      <c r="G285" s="32">
        <f t="shared" si="234"/>
        <v>9905.94</v>
      </c>
      <c r="H285" s="68"/>
      <c r="I285" s="161">
        <v>0</v>
      </c>
      <c r="J285" s="163"/>
      <c r="K285" s="163">
        <f t="shared" si="235"/>
        <v>0</v>
      </c>
      <c r="L285" s="163"/>
      <c r="M285" s="161">
        <v>8</v>
      </c>
      <c r="N285" s="32">
        <v>300.18</v>
      </c>
      <c r="O285" s="163">
        <f t="shared" si="236"/>
        <v>2401.44</v>
      </c>
      <c r="P285" s="163"/>
      <c r="Q285" s="161">
        <v>12</v>
      </c>
      <c r="R285" s="32">
        <v>300.18</v>
      </c>
      <c r="S285" s="163">
        <f t="shared" si="237"/>
        <v>3602.16</v>
      </c>
      <c r="T285" s="163"/>
      <c r="U285" s="161">
        <v>13</v>
      </c>
      <c r="V285" s="32">
        <v>300.18</v>
      </c>
      <c r="W285" s="163">
        <f t="shared" si="238"/>
        <v>3902.34</v>
      </c>
      <c r="X285" s="163"/>
      <c r="Y285" s="161"/>
      <c r="Z285" s="163"/>
      <c r="AA285" s="163">
        <f t="shared" si="239"/>
        <v>0</v>
      </c>
    </row>
    <row r="286" spans="1:27" ht="27.6">
      <c r="A286" s="35"/>
      <c r="B286" s="27"/>
      <c r="C286" s="169" t="s">
        <v>1092</v>
      </c>
      <c r="D286" s="164" t="s">
        <v>69</v>
      </c>
      <c r="E286" s="29">
        <f t="shared" si="233"/>
        <v>33</v>
      </c>
      <c r="F286" s="32">
        <v>108</v>
      </c>
      <c r="G286" s="32">
        <f t="shared" si="234"/>
        <v>3564</v>
      </c>
      <c r="H286" s="68"/>
      <c r="I286" s="161">
        <v>0</v>
      </c>
      <c r="J286" s="163"/>
      <c r="K286" s="163">
        <f t="shared" si="235"/>
        <v>0</v>
      </c>
      <c r="L286" s="163"/>
      <c r="M286" s="161">
        <v>8</v>
      </c>
      <c r="N286" s="32">
        <v>108</v>
      </c>
      <c r="O286" s="163">
        <f t="shared" si="236"/>
        <v>864</v>
      </c>
      <c r="P286" s="163"/>
      <c r="Q286" s="161">
        <v>12</v>
      </c>
      <c r="R286" s="32">
        <v>108</v>
      </c>
      <c r="S286" s="163">
        <f t="shared" si="237"/>
        <v>1296</v>
      </c>
      <c r="T286" s="163"/>
      <c r="U286" s="161">
        <v>13</v>
      </c>
      <c r="V286" s="32">
        <v>108</v>
      </c>
      <c r="W286" s="163">
        <f t="shared" si="238"/>
        <v>1404</v>
      </c>
      <c r="X286" s="163"/>
      <c r="Y286" s="161"/>
      <c r="Z286" s="163"/>
      <c r="AA286" s="163">
        <f t="shared" si="239"/>
        <v>0</v>
      </c>
    </row>
    <row r="287" spans="1:27">
      <c r="A287" s="35"/>
      <c r="B287" s="27"/>
      <c r="C287" s="169" t="s">
        <v>1093</v>
      </c>
      <c r="D287" s="164" t="s">
        <v>69</v>
      </c>
      <c r="E287" s="29">
        <f t="shared" si="233"/>
        <v>16</v>
      </c>
      <c r="F287" s="32">
        <v>94.673000000000002</v>
      </c>
      <c r="G287" s="32">
        <f t="shared" si="234"/>
        <v>1514.768</v>
      </c>
      <c r="H287" s="68"/>
      <c r="I287" s="161"/>
      <c r="J287" s="163"/>
      <c r="K287" s="163">
        <f t="shared" si="235"/>
        <v>0</v>
      </c>
      <c r="L287" s="163"/>
      <c r="M287" s="161">
        <v>4</v>
      </c>
      <c r="N287" s="32">
        <v>94.673000000000002</v>
      </c>
      <c r="O287" s="163">
        <f t="shared" si="236"/>
        <v>378.69200000000001</v>
      </c>
      <c r="P287" s="163"/>
      <c r="Q287" s="161">
        <v>5</v>
      </c>
      <c r="R287" s="32">
        <v>94.673000000000002</v>
      </c>
      <c r="S287" s="163">
        <f t="shared" si="237"/>
        <v>473.36500000000001</v>
      </c>
      <c r="T287" s="163"/>
      <c r="U287" s="161">
        <v>7</v>
      </c>
      <c r="V287" s="32">
        <v>94.673000000000002</v>
      </c>
      <c r="W287" s="163">
        <f t="shared" si="238"/>
        <v>662.71100000000001</v>
      </c>
      <c r="X287" s="163"/>
      <c r="Y287" s="161"/>
      <c r="Z287" s="163"/>
      <c r="AA287" s="163">
        <f t="shared" si="239"/>
        <v>0</v>
      </c>
    </row>
    <row r="288" spans="1:27">
      <c r="A288" s="35"/>
      <c r="B288" s="27"/>
      <c r="C288" s="169" t="s">
        <v>1094</v>
      </c>
      <c r="D288" s="371" t="s">
        <v>911</v>
      </c>
      <c r="E288" s="372">
        <f t="shared" si="233"/>
        <v>0</v>
      </c>
      <c r="F288" s="32"/>
      <c r="G288" s="32">
        <f t="shared" si="234"/>
        <v>0</v>
      </c>
      <c r="H288" s="68"/>
      <c r="I288" s="161">
        <v>0</v>
      </c>
      <c r="J288" s="163"/>
      <c r="K288" s="163">
        <f t="shared" si="235"/>
        <v>0</v>
      </c>
      <c r="L288" s="163"/>
      <c r="M288" s="161">
        <v>0</v>
      </c>
      <c r="N288" s="32"/>
      <c r="O288" s="163">
        <f t="shared" si="236"/>
        <v>0</v>
      </c>
      <c r="P288" s="163"/>
      <c r="Q288" s="161">
        <v>0</v>
      </c>
      <c r="R288" s="32"/>
      <c r="S288" s="163">
        <f t="shared" si="237"/>
        <v>0</v>
      </c>
      <c r="T288" s="163"/>
      <c r="U288" s="161">
        <v>0</v>
      </c>
      <c r="V288" s="32"/>
      <c r="W288" s="163">
        <f t="shared" si="238"/>
        <v>0</v>
      </c>
      <c r="X288" s="163"/>
      <c r="Y288" s="161"/>
      <c r="Z288" s="163"/>
      <c r="AA288" s="163">
        <f t="shared" si="239"/>
        <v>0</v>
      </c>
    </row>
    <row r="289" spans="1:27" ht="27.6">
      <c r="A289" s="35"/>
      <c r="B289" s="27"/>
      <c r="C289" s="168" t="s">
        <v>1095</v>
      </c>
      <c r="D289" s="376" t="s">
        <v>6</v>
      </c>
      <c r="E289" s="372">
        <f t="shared" si="233"/>
        <v>3</v>
      </c>
      <c r="F289" s="367">
        <v>2722.48</v>
      </c>
      <c r="G289" s="367">
        <f t="shared" si="234"/>
        <v>8167.4400000000005</v>
      </c>
      <c r="H289" s="68"/>
      <c r="I289" s="161">
        <v>0</v>
      </c>
      <c r="J289" s="163"/>
      <c r="K289" s="163">
        <f t="shared" si="235"/>
        <v>0</v>
      </c>
      <c r="L289" s="163"/>
      <c r="M289" s="374">
        <v>1</v>
      </c>
      <c r="N289" s="367">
        <v>2722.48</v>
      </c>
      <c r="O289" s="373">
        <f t="shared" si="236"/>
        <v>2722.48</v>
      </c>
      <c r="P289" s="163"/>
      <c r="Q289" s="374">
        <v>1</v>
      </c>
      <c r="R289" s="367">
        <v>2722.48</v>
      </c>
      <c r="S289" s="373">
        <f t="shared" si="237"/>
        <v>2722.48</v>
      </c>
      <c r="T289" s="163"/>
      <c r="U289" s="374">
        <v>1</v>
      </c>
      <c r="V289" s="367">
        <v>2722.48</v>
      </c>
      <c r="W289" s="373">
        <f t="shared" si="238"/>
        <v>2722.48</v>
      </c>
      <c r="X289" s="163"/>
      <c r="Y289" s="161"/>
      <c r="Z289" s="163"/>
      <c r="AA289" s="163">
        <f t="shared" si="239"/>
        <v>0</v>
      </c>
    </row>
    <row r="290" spans="1:27">
      <c r="A290" s="35"/>
      <c r="B290" s="27"/>
      <c r="C290" s="168" t="s">
        <v>329</v>
      </c>
      <c r="D290" s="166" t="s">
        <v>249</v>
      </c>
      <c r="E290" s="29"/>
      <c r="F290" s="32"/>
      <c r="G290" s="32">
        <f t="shared" si="234"/>
        <v>0</v>
      </c>
      <c r="H290" s="68"/>
      <c r="I290" s="161">
        <v>0</v>
      </c>
      <c r="J290" s="163">
        <v>0</v>
      </c>
      <c r="K290" s="163">
        <f t="shared" si="235"/>
        <v>0</v>
      </c>
      <c r="L290" s="163"/>
      <c r="M290" s="161"/>
      <c r="N290" s="163">
        <v>0</v>
      </c>
      <c r="O290" s="163">
        <f t="shared" si="236"/>
        <v>0</v>
      </c>
      <c r="P290" s="163"/>
      <c r="Q290" s="161"/>
      <c r="R290" s="163">
        <v>0</v>
      </c>
      <c r="S290" s="163">
        <f t="shared" si="237"/>
        <v>0</v>
      </c>
      <c r="T290" s="163"/>
      <c r="U290" s="161"/>
      <c r="V290" s="163">
        <v>0</v>
      </c>
      <c r="W290" s="163">
        <f t="shared" si="238"/>
        <v>0</v>
      </c>
      <c r="X290" s="163"/>
      <c r="Y290" s="161"/>
      <c r="Z290" s="163">
        <v>0</v>
      </c>
      <c r="AA290" s="163">
        <f t="shared" si="239"/>
        <v>0</v>
      </c>
    </row>
    <row r="291" spans="1:27">
      <c r="A291" s="35"/>
      <c r="B291" s="27"/>
      <c r="C291" s="169"/>
      <c r="D291" s="164"/>
      <c r="E291" s="37"/>
      <c r="F291" s="33"/>
      <c r="G291" s="34"/>
      <c r="H291" s="68"/>
      <c r="I291" s="161"/>
      <c r="J291" s="163"/>
      <c r="K291" s="163"/>
      <c r="L291" s="163"/>
      <c r="M291" s="161"/>
      <c r="N291" s="163"/>
      <c r="O291" s="163"/>
      <c r="P291" s="163"/>
      <c r="Q291" s="161"/>
      <c r="R291" s="163"/>
      <c r="S291" s="163"/>
      <c r="T291" s="163"/>
      <c r="U291" s="161"/>
      <c r="V291" s="163"/>
      <c r="W291" s="163"/>
      <c r="X291" s="163"/>
      <c r="Y291" s="161"/>
      <c r="Z291" s="163"/>
      <c r="AA291" s="163"/>
    </row>
    <row r="292" spans="1:27">
      <c r="A292" s="35"/>
      <c r="B292" s="27"/>
      <c r="C292" s="172" t="s">
        <v>1096</v>
      </c>
      <c r="D292" s="164"/>
      <c r="E292" s="29"/>
      <c r="F292" s="33" t="s">
        <v>10</v>
      </c>
      <c r="G292" s="34">
        <f>K292+O292+S292+W292+AA292</f>
        <v>49617.887999999999</v>
      </c>
      <c r="H292" s="68"/>
      <c r="I292" s="161"/>
      <c r="J292" s="33" t="s">
        <v>10</v>
      </c>
      <c r="K292" s="34">
        <f>SUM(K271:K291)</f>
        <v>13728.8</v>
      </c>
      <c r="L292" s="163"/>
      <c r="M292" s="161"/>
      <c r="N292" s="33" t="s">
        <v>10</v>
      </c>
      <c r="O292" s="34">
        <f>SUM(O271:O291)</f>
        <v>7245.5720000000001</v>
      </c>
      <c r="P292" s="163"/>
      <c r="Q292" s="161"/>
      <c r="R292" s="33" t="s">
        <v>10</v>
      </c>
      <c r="S292" s="34">
        <f>SUM(S271:S291)</f>
        <v>11609.844999999999</v>
      </c>
      <c r="T292" s="163"/>
      <c r="U292" s="161"/>
      <c r="V292" s="33" t="s">
        <v>10</v>
      </c>
      <c r="W292" s="34">
        <f>SUM(W271:W291)</f>
        <v>17033.671000000002</v>
      </c>
      <c r="X292" s="163"/>
      <c r="Y292" s="161"/>
      <c r="Z292" s="33" t="s">
        <v>10</v>
      </c>
      <c r="AA292" s="34">
        <f>SUM(AA271:AA291)</f>
        <v>0</v>
      </c>
    </row>
    <row r="293" spans="1:27">
      <c r="A293" s="35"/>
      <c r="B293" s="27"/>
      <c r="C293" s="169"/>
      <c r="D293" s="164"/>
      <c r="E293" s="37"/>
      <c r="F293" s="33"/>
      <c r="G293" s="34"/>
      <c r="H293" s="68"/>
      <c r="I293" s="161"/>
      <c r="J293" s="163"/>
      <c r="K293" s="163"/>
      <c r="L293" s="163"/>
      <c r="M293" s="161"/>
      <c r="N293" s="163"/>
      <c r="O293" s="163"/>
      <c r="P293" s="163"/>
      <c r="Q293" s="161"/>
      <c r="R293" s="163"/>
      <c r="S293" s="163"/>
      <c r="T293" s="163"/>
      <c r="U293" s="161"/>
      <c r="V293" s="163"/>
      <c r="W293" s="163"/>
      <c r="X293" s="163"/>
      <c r="Y293" s="161"/>
      <c r="Z293" s="163"/>
      <c r="AA293" s="163"/>
    </row>
    <row r="294" spans="1:27">
      <c r="A294" s="35"/>
      <c r="B294" s="27"/>
      <c r="C294" s="168"/>
      <c r="D294" s="166"/>
      <c r="E294" s="37"/>
      <c r="F294" s="33"/>
      <c r="G294" s="34"/>
      <c r="H294" s="68"/>
      <c r="I294" s="161"/>
      <c r="J294" s="163"/>
      <c r="K294" s="163"/>
      <c r="L294" s="163"/>
      <c r="M294" s="161"/>
      <c r="N294" s="163"/>
      <c r="O294" s="163"/>
      <c r="P294" s="163"/>
      <c r="Q294" s="161"/>
      <c r="R294" s="163"/>
      <c r="S294" s="163"/>
      <c r="T294" s="163"/>
      <c r="U294" s="161"/>
      <c r="V294" s="163"/>
      <c r="W294" s="163"/>
      <c r="X294" s="163"/>
      <c r="Y294" s="161"/>
      <c r="Z294" s="163"/>
      <c r="AA294" s="163"/>
    </row>
    <row r="295" spans="1:27">
      <c r="A295" s="35"/>
      <c r="B295" s="62" t="s">
        <v>1097</v>
      </c>
      <c r="C295" s="173" t="s">
        <v>1098</v>
      </c>
      <c r="D295" s="174"/>
      <c r="E295" s="65"/>
      <c r="F295" s="66"/>
      <c r="G295" s="66"/>
      <c r="H295" s="64"/>
      <c r="I295" s="178"/>
      <c r="J295" s="180"/>
      <c r="K295" s="180"/>
      <c r="L295" s="180"/>
      <c r="M295" s="178"/>
      <c r="N295" s="180"/>
      <c r="O295" s="180"/>
      <c r="P295" s="180"/>
      <c r="Q295" s="178"/>
      <c r="R295" s="180"/>
      <c r="S295" s="180"/>
      <c r="T295" s="180"/>
      <c r="U295" s="178"/>
      <c r="V295" s="180"/>
      <c r="W295" s="180"/>
      <c r="X295" s="180"/>
      <c r="Y295" s="178"/>
      <c r="Z295" s="180"/>
      <c r="AA295" s="180"/>
    </row>
    <row r="296" spans="1:27" ht="27.6">
      <c r="A296" s="35"/>
      <c r="B296" s="27"/>
      <c r="C296" s="168" t="s">
        <v>1099</v>
      </c>
      <c r="D296" s="376" t="s">
        <v>911</v>
      </c>
      <c r="E296" s="372">
        <f t="shared" ref="E296" si="240">I296+M296+Q296+U296+Y296</f>
        <v>0</v>
      </c>
      <c r="F296" s="32"/>
      <c r="G296" s="32">
        <f t="shared" ref="G296" si="241">K296+O296+S296+W296+AA296</f>
        <v>0</v>
      </c>
      <c r="H296" s="68"/>
      <c r="I296" s="161">
        <v>0</v>
      </c>
      <c r="J296" s="163"/>
      <c r="K296" s="163">
        <f t="shared" ref="K296" si="242">I296*J296</f>
        <v>0</v>
      </c>
      <c r="L296" s="163"/>
      <c r="M296" s="161"/>
      <c r="N296" s="163"/>
      <c r="O296" s="163">
        <f t="shared" ref="O296" si="243">M296*N296</f>
        <v>0</v>
      </c>
      <c r="P296" s="163"/>
      <c r="Q296" s="161">
        <v>0</v>
      </c>
      <c r="R296" s="163"/>
      <c r="S296" s="163">
        <f t="shared" ref="S296" si="244">Q296*R296</f>
        <v>0</v>
      </c>
      <c r="T296" s="163"/>
      <c r="U296" s="161">
        <v>0</v>
      </c>
      <c r="V296" s="163"/>
      <c r="W296" s="163">
        <f t="shared" ref="W296" si="245">U296*V296</f>
        <v>0</v>
      </c>
      <c r="X296" s="163"/>
      <c r="Y296" s="161"/>
      <c r="Z296" s="163"/>
      <c r="AA296" s="163">
        <f t="shared" ref="AA296" si="246">Y296*Z296</f>
        <v>0</v>
      </c>
    </row>
    <row r="297" spans="1:27">
      <c r="A297" s="35"/>
      <c r="B297" s="27"/>
      <c r="C297" s="168" t="s">
        <v>1100</v>
      </c>
      <c r="D297" s="166" t="s">
        <v>249</v>
      </c>
      <c r="E297" s="29"/>
      <c r="F297" s="32"/>
      <c r="G297" s="32"/>
      <c r="H297" s="68"/>
      <c r="I297" s="161"/>
      <c r="J297" s="163"/>
      <c r="K297" s="163"/>
      <c r="L297" s="163"/>
      <c r="M297" s="161"/>
      <c r="N297" s="163"/>
      <c r="O297" s="163"/>
      <c r="P297" s="163"/>
      <c r="Q297" s="161"/>
      <c r="R297" s="163"/>
      <c r="S297" s="163"/>
      <c r="T297" s="163"/>
      <c r="U297" s="161"/>
      <c r="V297" s="163"/>
      <c r="W297" s="163"/>
      <c r="X297" s="163"/>
      <c r="Y297" s="161"/>
      <c r="Z297" s="163"/>
      <c r="AA297" s="163"/>
    </row>
    <row r="298" spans="1:27">
      <c r="A298" s="14"/>
      <c r="B298" s="27"/>
      <c r="C298" s="168" t="s">
        <v>355</v>
      </c>
      <c r="D298" s="166" t="s">
        <v>249</v>
      </c>
      <c r="E298" s="29"/>
      <c r="F298" s="32"/>
      <c r="G298" s="32"/>
      <c r="H298" s="68"/>
      <c r="I298" s="161"/>
      <c r="J298" s="163"/>
      <c r="K298" s="163"/>
      <c r="L298" s="163"/>
      <c r="M298" s="161"/>
      <c r="N298" s="163"/>
      <c r="O298" s="163"/>
      <c r="P298" s="163"/>
      <c r="Q298" s="161"/>
      <c r="R298" s="163"/>
      <c r="S298" s="163"/>
      <c r="T298" s="163"/>
      <c r="U298" s="161"/>
      <c r="V298" s="163"/>
      <c r="W298" s="163"/>
      <c r="X298" s="163"/>
      <c r="Y298" s="161"/>
      <c r="Z298" s="163"/>
      <c r="AA298" s="163"/>
    </row>
    <row r="299" spans="1:27">
      <c r="A299" s="35"/>
      <c r="B299" s="27"/>
      <c r="C299" s="168"/>
      <c r="D299" s="166"/>
      <c r="E299" s="37"/>
      <c r="F299" s="33"/>
      <c r="G299" s="34"/>
      <c r="H299" s="68"/>
      <c r="I299" s="161"/>
      <c r="J299" s="163"/>
      <c r="K299" s="163"/>
      <c r="L299" s="163"/>
      <c r="M299" s="161"/>
      <c r="N299" s="163"/>
      <c r="O299" s="163"/>
      <c r="P299" s="163"/>
      <c r="Q299" s="161"/>
      <c r="R299" s="163"/>
      <c r="S299" s="163"/>
      <c r="T299" s="163"/>
      <c r="U299" s="161"/>
      <c r="V299" s="163"/>
      <c r="W299" s="163"/>
      <c r="X299" s="163"/>
      <c r="Y299" s="161"/>
      <c r="Z299" s="163"/>
      <c r="AA299" s="163"/>
    </row>
    <row r="300" spans="1:27">
      <c r="A300" s="35"/>
      <c r="B300" s="27"/>
      <c r="C300" s="172" t="s">
        <v>1101</v>
      </c>
      <c r="D300" s="164"/>
      <c r="E300" s="29"/>
      <c r="F300" s="33" t="s">
        <v>10</v>
      </c>
      <c r="G300" s="34">
        <f>K300+O300+S300+W300+AA300</f>
        <v>0</v>
      </c>
      <c r="H300" s="68"/>
      <c r="I300" s="161"/>
      <c r="J300" s="33" t="s">
        <v>10</v>
      </c>
      <c r="K300" s="34">
        <f>SUM(K295:K299)</f>
        <v>0</v>
      </c>
      <c r="L300" s="163"/>
      <c r="M300" s="161"/>
      <c r="N300" s="33" t="s">
        <v>10</v>
      </c>
      <c r="O300" s="34">
        <f>SUM(O295:O299)</f>
        <v>0</v>
      </c>
      <c r="P300" s="163"/>
      <c r="Q300" s="161"/>
      <c r="R300" s="33" t="s">
        <v>10</v>
      </c>
      <c r="S300" s="34">
        <f>SUM(S295:S299)</f>
        <v>0</v>
      </c>
      <c r="T300" s="163"/>
      <c r="U300" s="161"/>
      <c r="V300" s="33" t="s">
        <v>10</v>
      </c>
      <c r="W300" s="34">
        <f>SUM(W295:W299)</f>
        <v>0</v>
      </c>
      <c r="X300" s="163"/>
      <c r="Y300" s="161"/>
      <c r="Z300" s="33" t="s">
        <v>10</v>
      </c>
      <c r="AA300" s="34">
        <f>SUM(AA295:AA299)</f>
        <v>0</v>
      </c>
    </row>
    <row r="301" spans="1:27">
      <c r="A301" s="35"/>
      <c r="B301" s="27"/>
      <c r="C301" s="168"/>
      <c r="D301" s="166"/>
      <c r="E301" s="37"/>
      <c r="F301" s="33"/>
      <c r="G301" s="34"/>
      <c r="H301" s="68"/>
      <c r="I301" s="161"/>
      <c r="J301" s="163"/>
      <c r="K301" s="163"/>
      <c r="L301" s="163"/>
      <c r="M301" s="161"/>
      <c r="N301" s="163"/>
      <c r="O301" s="163"/>
      <c r="P301" s="163"/>
      <c r="Q301" s="161"/>
      <c r="R301" s="163"/>
      <c r="S301" s="163"/>
      <c r="T301" s="163"/>
      <c r="U301" s="161"/>
      <c r="V301" s="163"/>
      <c r="W301" s="163"/>
      <c r="X301" s="163"/>
      <c r="Y301" s="161"/>
      <c r="Z301" s="163"/>
      <c r="AA301" s="163"/>
    </row>
    <row r="302" spans="1:27">
      <c r="A302" s="35"/>
      <c r="B302" s="27"/>
      <c r="C302" s="168"/>
      <c r="D302" s="166"/>
      <c r="E302" s="37"/>
      <c r="F302" s="33"/>
      <c r="G302" s="34"/>
      <c r="H302" s="68"/>
      <c r="I302" s="161"/>
      <c r="J302" s="163"/>
      <c r="K302" s="163"/>
      <c r="L302" s="163"/>
      <c r="M302" s="161"/>
      <c r="N302" s="163"/>
      <c r="O302" s="163"/>
      <c r="P302" s="163"/>
      <c r="Q302" s="161"/>
      <c r="R302" s="163"/>
      <c r="S302" s="163"/>
      <c r="T302" s="163"/>
      <c r="U302" s="161"/>
      <c r="V302" s="163"/>
      <c r="W302" s="163"/>
      <c r="X302" s="163"/>
      <c r="Y302" s="161"/>
      <c r="Z302" s="163"/>
      <c r="AA302" s="163"/>
    </row>
    <row r="303" spans="1:27">
      <c r="A303" s="35"/>
      <c r="B303" s="62" t="s">
        <v>1102</v>
      </c>
      <c r="C303" s="173" t="s">
        <v>1103</v>
      </c>
      <c r="D303" s="174"/>
      <c r="E303" s="65"/>
      <c r="F303" s="66"/>
      <c r="G303" s="66"/>
      <c r="H303" s="64"/>
      <c r="I303" s="178"/>
      <c r="J303" s="180"/>
      <c r="K303" s="180"/>
      <c r="L303" s="180"/>
      <c r="M303" s="178"/>
      <c r="N303" s="180"/>
      <c r="O303" s="180"/>
      <c r="P303" s="180"/>
      <c r="Q303" s="178"/>
      <c r="R303" s="180"/>
      <c r="S303" s="180"/>
      <c r="T303" s="180"/>
      <c r="U303" s="178"/>
      <c r="V303" s="180"/>
      <c r="W303" s="180"/>
      <c r="X303" s="180"/>
      <c r="Y303" s="178"/>
      <c r="Z303" s="180"/>
      <c r="AA303" s="180"/>
    </row>
    <row r="304" spans="1:27">
      <c r="A304" s="35"/>
      <c r="B304" s="27"/>
      <c r="C304" s="168" t="s">
        <v>1104</v>
      </c>
      <c r="D304" s="166" t="s">
        <v>69</v>
      </c>
      <c r="E304" s="29">
        <f t="shared" ref="E304:E306" si="247">I304+M304+Q304+U304+Y304</f>
        <v>5</v>
      </c>
      <c r="F304" s="32">
        <v>333.02</v>
      </c>
      <c r="G304" s="32">
        <f t="shared" ref="G304:G306" si="248">K304+O304+S304+W304+AA304</f>
        <v>1665.1</v>
      </c>
      <c r="H304" s="68"/>
      <c r="I304" s="161">
        <v>5</v>
      </c>
      <c r="J304" s="32">
        <v>333.02</v>
      </c>
      <c r="K304" s="163">
        <f>I304*J304</f>
        <v>1665.1</v>
      </c>
      <c r="L304" s="163"/>
      <c r="M304" s="161"/>
      <c r="N304" s="163"/>
      <c r="O304" s="163">
        <f>M304*N304</f>
        <v>0</v>
      </c>
      <c r="P304" s="163"/>
      <c r="Q304" s="161"/>
      <c r="R304" s="163"/>
      <c r="S304" s="163">
        <f>Q304*R304</f>
        <v>0</v>
      </c>
      <c r="T304" s="163"/>
      <c r="U304" s="161"/>
      <c r="V304" s="163"/>
      <c r="W304" s="163">
        <f>U304*V304</f>
        <v>0</v>
      </c>
      <c r="X304" s="163"/>
      <c r="Y304" s="161"/>
      <c r="Z304" s="163"/>
      <c r="AA304" s="163">
        <f>Y304*Z304</f>
        <v>0</v>
      </c>
    </row>
    <row r="305" spans="1:27">
      <c r="A305" s="35"/>
      <c r="B305" s="27"/>
      <c r="C305" s="168" t="s">
        <v>1105</v>
      </c>
      <c r="D305" s="166" t="s">
        <v>6</v>
      </c>
      <c r="E305" s="29">
        <f t="shared" si="247"/>
        <v>1</v>
      </c>
      <c r="F305" s="32">
        <v>775.67</v>
      </c>
      <c r="G305" s="32">
        <f t="shared" si="248"/>
        <v>775.67</v>
      </c>
      <c r="H305" s="68"/>
      <c r="I305" s="161">
        <v>1</v>
      </c>
      <c r="J305" s="32">
        <v>775.67</v>
      </c>
      <c r="K305" s="163">
        <f t="shared" ref="K305:K306" si="249">I305*J305</f>
        <v>775.67</v>
      </c>
      <c r="L305" s="163"/>
      <c r="M305" s="161"/>
      <c r="N305" s="163"/>
      <c r="O305" s="163">
        <f t="shared" ref="O305:O306" si="250">M305*N305</f>
        <v>0</v>
      </c>
      <c r="P305" s="163"/>
      <c r="Q305" s="161"/>
      <c r="R305" s="163"/>
      <c r="S305" s="163">
        <f t="shared" ref="S305:S306" si="251">Q305*R305</f>
        <v>0</v>
      </c>
      <c r="T305" s="163"/>
      <c r="U305" s="161"/>
      <c r="V305" s="163"/>
      <c r="W305" s="163">
        <f t="shared" ref="W305:W306" si="252">U305*V305</f>
        <v>0</v>
      </c>
      <c r="X305" s="163"/>
      <c r="Y305" s="161"/>
      <c r="Z305" s="163"/>
      <c r="AA305" s="163">
        <f t="shared" ref="AA305:AA306" si="253">Y305*Z305</f>
        <v>0</v>
      </c>
    </row>
    <row r="306" spans="1:27">
      <c r="A306" s="14"/>
      <c r="B306" s="27"/>
      <c r="C306" s="168" t="s">
        <v>355</v>
      </c>
      <c r="D306" s="166" t="s">
        <v>6</v>
      </c>
      <c r="E306" s="29">
        <f t="shared" si="247"/>
        <v>1</v>
      </c>
      <c r="F306" s="32">
        <v>899.42</v>
      </c>
      <c r="G306" s="32">
        <f t="shared" si="248"/>
        <v>899.42</v>
      </c>
      <c r="H306" s="68"/>
      <c r="I306" s="161">
        <v>1</v>
      </c>
      <c r="J306" s="32">
        <v>899.42</v>
      </c>
      <c r="K306" s="163">
        <f t="shared" si="249"/>
        <v>899.42</v>
      </c>
      <c r="L306" s="163"/>
      <c r="M306" s="161"/>
      <c r="N306" s="163"/>
      <c r="O306" s="163">
        <f t="shared" si="250"/>
        <v>0</v>
      </c>
      <c r="P306" s="163"/>
      <c r="Q306" s="161"/>
      <c r="R306" s="163"/>
      <c r="S306" s="163">
        <f t="shared" si="251"/>
        <v>0</v>
      </c>
      <c r="T306" s="163"/>
      <c r="U306" s="161"/>
      <c r="V306" s="163"/>
      <c r="W306" s="163">
        <f t="shared" si="252"/>
        <v>0</v>
      </c>
      <c r="X306" s="163"/>
      <c r="Y306" s="161"/>
      <c r="Z306" s="163"/>
      <c r="AA306" s="163">
        <f t="shared" si="253"/>
        <v>0</v>
      </c>
    </row>
    <row r="307" spans="1:27">
      <c r="A307" s="35"/>
      <c r="B307" s="27"/>
      <c r="C307" s="168"/>
      <c r="D307" s="166"/>
      <c r="E307" s="37"/>
      <c r="F307" s="33"/>
      <c r="G307" s="34">
        <f>K307</f>
        <v>0.01</v>
      </c>
      <c r="H307" s="68"/>
      <c r="I307" s="161"/>
      <c r="J307" s="163"/>
      <c r="K307" s="163">
        <v>0.01</v>
      </c>
      <c r="L307" s="163"/>
      <c r="M307" s="161"/>
      <c r="N307" s="163"/>
      <c r="O307" s="163"/>
      <c r="P307" s="163"/>
      <c r="Q307" s="161"/>
      <c r="R307" s="163"/>
      <c r="S307" s="163"/>
      <c r="T307" s="163"/>
      <c r="U307" s="161"/>
      <c r="V307" s="163"/>
      <c r="W307" s="163"/>
      <c r="X307" s="163"/>
      <c r="Y307" s="161"/>
      <c r="Z307" s="163"/>
      <c r="AA307" s="163"/>
    </row>
    <row r="308" spans="1:27">
      <c r="A308" s="35"/>
      <c r="B308" s="27"/>
      <c r="C308" s="172" t="s">
        <v>1106</v>
      </c>
      <c r="D308" s="164"/>
      <c r="E308" s="29"/>
      <c r="F308" s="33" t="s">
        <v>10</v>
      </c>
      <c r="G308" s="34">
        <f>K308+O308+S308+W308+AA308</f>
        <v>3340.2000000000003</v>
      </c>
      <c r="H308" s="68"/>
      <c r="I308" s="161"/>
      <c r="J308" s="33" t="s">
        <v>10</v>
      </c>
      <c r="K308" s="34">
        <f>SUM(K303:K307)</f>
        <v>3340.2000000000003</v>
      </c>
      <c r="L308" s="163"/>
      <c r="M308" s="161"/>
      <c r="N308" s="33" t="s">
        <v>10</v>
      </c>
      <c r="O308" s="34">
        <f>SUM(O303:O307)</f>
        <v>0</v>
      </c>
      <c r="P308" s="163"/>
      <c r="Q308" s="161"/>
      <c r="R308" s="33" t="s">
        <v>10</v>
      </c>
      <c r="S308" s="34">
        <f>SUM(S303:S307)</f>
        <v>0</v>
      </c>
      <c r="T308" s="163"/>
      <c r="U308" s="161"/>
      <c r="V308" s="33" t="s">
        <v>10</v>
      </c>
      <c r="W308" s="34">
        <f>SUM(W303:W307)</f>
        <v>0</v>
      </c>
      <c r="X308" s="163"/>
      <c r="Y308" s="161"/>
      <c r="Z308" s="33" t="s">
        <v>10</v>
      </c>
      <c r="AA308" s="34">
        <f>SUM(AA303:AA307)</f>
        <v>0</v>
      </c>
    </row>
    <row r="309" spans="1:27">
      <c r="A309" s="35"/>
      <c r="B309" s="27"/>
      <c r="C309" s="36"/>
      <c r="D309" s="68"/>
      <c r="E309" s="37"/>
      <c r="F309" s="33"/>
      <c r="G309" s="34"/>
      <c r="H309" s="68"/>
      <c r="I309" s="37"/>
      <c r="J309" s="33"/>
      <c r="K309" s="34"/>
      <c r="M309" s="37"/>
      <c r="N309" s="33"/>
      <c r="O309" s="34"/>
      <c r="Q309" s="37"/>
      <c r="R309" s="33"/>
      <c r="S309" s="34"/>
      <c r="U309" s="37"/>
      <c r="V309" s="33"/>
      <c r="W309" s="34"/>
      <c r="Y309" s="37"/>
      <c r="Z309" s="33"/>
      <c r="AA309" s="34"/>
    </row>
    <row r="310" spans="1:27">
      <c r="A310" s="35"/>
      <c r="B310" s="27"/>
      <c r="C310" s="36"/>
      <c r="D310" s="68"/>
      <c r="E310" s="37"/>
      <c r="F310" s="33"/>
      <c r="G310" s="34"/>
      <c r="H310" s="68"/>
      <c r="I310" s="37"/>
      <c r="J310" s="33"/>
      <c r="K310" s="34"/>
      <c r="M310" s="37"/>
      <c r="N310" s="33"/>
      <c r="O310" s="34"/>
      <c r="Q310" s="37"/>
      <c r="R310" s="33"/>
      <c r="S310" s="34"/>
      <c r="U310" s="37"/>
      <c r="V310" s="33"/>
      <c r="W310" s="34"/>
      <c r="Y310" s="37"/>
      <c r="Z310" s="33"/>
      <c r="AA310" s="34"/>
    </row>
    <row r="311" spans="1:27" s="397" customFormat="1">
      <c r="A311" s="390"/>
      <c r="B311" s="391"/>
      <c r="C311" s="392"/>
      <c r="D311" s="393"/>
      <c r="E311" s="394"/>
      <c r="F311" s="395"/>
      <c r="G311" s="396"/>
      <c r="H311" s="393"/>
      <c r="I311" s="394"/>
      <c r="J311" s="395"/>
      <c r="K311" s="396"/>
      <c r="M311" s="394"/>
      <c r="N311" s="395"/>
      <c r="O311" s="396"/>
      <c r="Q311" s="394"/>
      <c r="R311" s="395"/>
      <c r="S311" s="396"/>
      <c r="U311" s="394"/>
      <c r="V311" s="395"/>
      <c r="W311" s="396"/>
      <c r="Y311" s="394"/>
      <c r="Z311" s="395"/>
      <c r="AA311" s="396"/>
    </row>
    <row r="312" spans="1:27" s="397" customFormat="1">
      <c r="A312" s="398"/>
      <c r="B312" s="399"/>
      <c r="C312" s="400"/>
      <c r="D312" s="399"/>
      <c r="E312" s="399"/>
      <c r="F312" s="44"/>
      <c r="G312" s="44"/>
      <c r="H312" s="399"/>
      <c r="I312" s="401"/>
      <c r="J312" s="44"/>
      <c r="K312" s="44"/>
      <c r="L312" s="399"/>
      <c r="M312" s="401"/>
      <c r="N312" s="44"/>
      <c r="O312" s="44"/>
      <c r="P312" s="399"/>
      <c r="Q312" s="401"/>
      <c r="R312" s="44"/>
      <c r="S312" s="44"/>
      <c r="T312" s="399"/>
      <c r="U312" s="401"/>
      <c r="V312" s="44"/>
      <c r="W312" s="44"/>
      <c r="X312" s="399"/>
      <c r="Y312" s="401"/>
      <c r="Z312" s="44"/>
      <c r="AA312" s="44"/>
    </row>
    <row r="313" spans="1:27" s="407" customFormat="1">
      <c r="A313" s="402"/>
      <c r="B313" s="403"/>
      <c r="C313" s="404" t="s">
        <v>7</v>
      </c>
      <c r="D313" s="405"/>
      <c r="E313" s="405"/>
      <c r="F313" s="55"/>
      <c r="G313" s="416">
        <f>K313+O313+S313+W313+AA313</f>
        <v>575000.00299999991</v>
      </c>
      <c r="H313" s="405"/>
      <c r="I313" s="406"/>
      <c r="J313" s="55"/>
      <c r="K313" s="55">
        <f>K215+K183+K165+K130+K63+K23+K13+K308+K300+K292+K268+K250+K235+K228</f>
        <v>155195.959</v>
      </c>
      <c r="L313" s="405"/>
      <c r="M313" s="406"/>
      <c r="N313" s="55"/>
      <c r="O313" s="55">
        <f>O215+O183+O165+O130+O63+O23+O13+O308+O300+O292+O268+O250+O235+O228</f>
        <v>78809.346999999994</v>
      </c>
      <c r="P313" s="405"/>
      <c r="Q313" s="406"/>
      <c r="R313" s="55"/>
      <c r="S313" s="55">
        <f>S215+S183+S165+S130+S63+S23+S13+S308+S300+S292+S268+S250+S235+S228</f>
        <v>97531.713000000003</v>
      </c>
      <c r="T313" s="405"/>
      <c r="U313" s="406"/>
      <c r="V313" s="55"/>
      <c r="W313" s="55">
        <f>W215+W183+W165+W130+W63+W23+W13+W308+W300+W292+W268+W250+W235+W228</f>
        <v>205979.77999999997</v>
      </c>
      <c r="X313" s="405"/>
      <c r="Y313" s="406"/>
      <c r="Z313" s="55"/>
      <c r="AA313" s="55">
        <f>AA215+AA183+AA165+AA130+AA63+AA23+AA13+AA308+AA300+AA292+AA268+AA250+AA235+AA228</f>
        <v>37483.204000000005</v>
      </c>
    </row>
    <row r="314" spans="1:27" s="407" customFormat="1">
      <c r="A314" s="402"/>
      <c r="B314" s="403"/>
      <c r="C314" s="404" t="s">
        <v>8</v>
      </c>
      <c r="D314" s="405"/>
      <c r="E314" s="405"/>
      <c r="F314" s="55"/>
      <c r="G314" s="55">
        <f>G313*0.2</f>
        <v>115000.00059999998</v>
      </c>
      <c r="H314" s="405"/>
      <c r="I314" s="406"/>
      <c r="J314" s="55"/>
      <c r="K314" s="55">
        <f>K313*0.2</f>
        <v>31039.191800000001</v>
      </c>
      <c r="L314" s="405"/>
      <c r="M314" s="406"/>
      <c r="N314" s="55"/>
      <c r="O314" s="55">
        <f>O313*0.2</f>
        <v>15761.8694</v>
      </c>
      <c r="P314" s="405"/>
      <c r="Q314" s="406"/>
      <c r="R314" s="55"/>
      <c r="S314" s="55">
        <f>S313*0.2</f>
        <v>19506.3426</v>
      </c>
      <c r="T314" s="405"/>
      <c r="U314" s="406"/>
      <c r="V314" s="55"/>
      <c r="W314" s="55">
        <f>W313*0.2</f>
        <v>41195.955999999998</v>
      </c>
      <c r="X314" s="405"/>
      <c r="Y314" s="406"/>
      <c r="Z314" s="55"/>
      <c r="AA314" s="55">
        <f>AA313*0.2</f>
        <v>7496.640800000001</v>
      </c>
    </row>
    <row r="315" spans="1:27" s="407" customFormat="1">
      <c r="A315" s="402"/>
      <c r="B315" s="403"/>
      <c r="C315" s="404" t="s">
        <v>9</v>
      </c>
      <c r="D315" s="405"/>
      <c r="E315" s="405"/>
      <c r="F315" s="55"/>
      <c r="G315" s="55">
        <f>G314+G313</f>
        <v>690000.00359999994</v>
      </c>
      <c r="H315" s="405"/>
      <c r="I315" s="406"/>
      <c r="J315" s="55"/>
      <c r="K315" s="55">
        <f>K314+K313</f>
        <v>186235.1508</v>
      </c>
      <c r="L315" s="405"/>
      <c r="M315" s="406"/>
      <c r="N315" s="55"/>
      <c r="O315" s="55">
        <f>O314+O313</f>
        <v>94571.21639999999</v>
      </c>
      <c r="P315" s="405"/>
      <c r="Q315" s="406"/>
      <c r="R315" s="55"/>
      <c r="S315" s="55">
        <f>S314+S313</f>
        <v>117038.05560000001</v>
      </c>
      <c r="T315" s="405"/>
      <c r="U315" s="406"/>
      <c r="V315" s="55"/>
      <c r="W315" s="55">
        <f>W314+W313</f>
        <v>247175.73599999998</v>
      </c>
      <c r="X315" s="405"/>
      <c r="Y315" s="406"/>
      <c r="Z315" s="55"/>
      <c r="AA315" s="55">
        <f>AA314+AA313</f>
        <v>44979.844800000006</v>
      </c>
    </row>
    <row r="316" spans="1:27" s="397" customFormat="1">
      <c r="A316" s="408"/>
      <c r="B316" s="409"/>
      <c r="C316" s="410"/>
      <c r="D316" s="46"/>
      <c r="E316" s="51"/>
      <c r="F316" s="48"/>
      <c r="G316" s="48"/>
      <c r="H316" s="46"/>
      <c r="I316" s="47"/>
      <c r="J316" s="48"/>
      <c r="K316" s="48"/>
      <c r="L316" s="411"/>
      <c r="M316" s="50"/>
      <c r="N316" s="48"/>
      <c r="O316" s="48"/>
      <c r="P316" s="411"/>
      <c r="Q316" s="50"/>
      <c r="R316" s="48"/>
      <c r="S316" s="48"/>
      <c r="T316" s="411"/>
      <c r="U316" s="50"/>
      <c r="V316" s="48"/>
      <c r="W316" s="48"/>
      <c r="X316" s="411"/>
      <c r="Y316" s="50"/>
      <c r="Z316" s="48"/>
      <c r="AA316" s="48"/>
    </row>
    <row r="317" spans="1:27" s="397" customFormat="1">
      <c r="A317" s="412"/>
      <c r="B317" s="413"/>
      <c r="C317" s="414"/>
    </row>
    <row r="318" spans="1:27" s="397" customFormat="1">
      <c r="A318" s="412"/>
      <c r="B318" s="413"/>
      <c r="C318" s="414"/>
    </row>
    <row r="319" spans="1:27">
      <c r="A319" s="35"/>
      <c r="B319" s="27"/>
      <c r="C319" s="169"/>
      <c r="D319" s="164"/>
      <c r="E319" s="29"/>
      <c r="F319" s="33"/>
      <c r="G319" s="32"/>
      <c r="H319" s="68"/>
      <c r="I319" s="161"/>
      <c r="J319" s="163"/>
      <c r="K319" s="163"/>
      <c r="L319" s="164"/>
      <c r="M319" s="164"/>
      <c r="N319" s="163"/>
      <c r="O319" s="163"/>
      <c r="P319" s="164"/>
      <c r="Q319" s="164"/>
      <c r="R319" s="163"/>
      <c r="S319" s="163"/>
      <c r="T319" s="164"/>
      <c r="U319" s="164"/>
      <c r="V319" s="163"/>
      <c r="W319" s="163"/>
      <c r="X319" s="164"/>
      <c r="Y319" s="164"/>
      <c r="Z319" s="163"/>
      <c r="AA319" s="163"/>
    </row>
    <row r="320" spans="1:27">
      <c r="A320" s="35"/>
      <c r="B320" s="27"/>
      <c r="C320" s="169"/>
      <c r="D320" s="164"/>
      <c r="E320" s="29"/>
      <c r="F320" s="33"/>
      <c r="G320" s="32"/>
      <c r="H320" s="68"/>
      <c r="I320" s="161"/>
      <c r="J320" s="163"/>
      <c r="K320" s="163"/>
      <c r="L320" s="164"/>
      <c r="M320" s="164"/>
      <c r="N320" s="163"/>
      <c r="O320" s="163"/>
      <c r="P320" s="164"/>
      <c r="Q320" s="164"/>
      <c r="R320" s="163"/>
      <c r="S320" s="163"/>
      <c r="T320" s="164"/>
      <c r="U320" s="164"/>
      <c r="V320" s="163"/>
      <c r="W320" s="163"/>
      <c r="X320" s="164"/>
      <c r="Y320" s="164"/>
      <c r="Z320" s="163"/>
      <c r="AA320" s="163"/>
    </row>
    <row r="321" spans="1:27">
      <c r="A321" s="35"/>
      <c r="B321" s="27"/>
      <c r="C321" s="415" t="s">
        <v>964</v>
      </c>
      <c r="D321" s="164"/>
      <c r="E321" s="29"/>
      <c r="F321" s="33"/>
      <c r="G321" s="32"/>
      <c r="H321" s="68"/>
      <c r="I321" s="161"/>
      <c r="J321" s="163"/>
      <c r="K321" s="163"/>
      <c r="L321" s="164"/>
      <c r="M321" s="164"/>
      <c r="N321" s="163"/>
      <c r="O321" s="163"/>
      <c r="P321" s="164"/>
      <c r="Q321" s="164"/>
      <c r="R321" s="163"/>
      <c r="S321" s="163"/>
      <c r="T321" s="164"/>
      <c r="U321" s="164"/>
      <c r="V321" s="163"/>
      <c r="W321" s="163"/>
      <c r="X321" s="164"/>
      <c r="Y321" s="164"/>
      <c r="Z321" s="163"/>
      <c r="AA321" s="163"/>
    </row>
    <row r="322" spans="1:27">
      <c r="A322" s="35"/>
      <c r="B322" s="27"/>
      <c r="C322" s="169" t="s">
        <v>277</v>
      </c>
      <c r="D322" s="164" t="s">
        <v>6</v>
      </c>
      <c r="E322" s="29">
        <f t="shared" ref="E322:E327" si="254">I322+M322+Q322+U322+Y322</f>
        <v>1</v>
      </c>
      <c r="F322" s="32">
        <v>2084.21</v>
      </c>
      <c r="G322" s="32">
        <f t="shared" ref="G322:G327" si="255">K322+O322+S322+W322+AA322</f>
        <v>2084.21</v>
      </c>
      <c r="H322" s="68"/>
      <c r="I322" s="161"/>
      <c r="J322" s="163"/>
      <c r="K322" s="163"/>
      <c r="L322" s="164"/>
      <c r="M322" s="164">
        <v>1</v>
      </c>
      <c r="N322" s="32">
        <v>2084.21</v>
      </c>
      <c r="O322" s="163">
        <f t="shared" ref="O322:O323" si="256">N322*M322</f>
        <v>2084.21</v>
      </c>
      <c r="P322" s="164"/>
      <c r="Q322" s="164"/>
      <c r="R322" s="163"/>
      <c r="S322" s="163"/>
      <c r="T322" s="164"/>
      <c r="U322" s="164"/>
      <c r="V322" s="163"/>
      <c r="W322" s="163">
        <f>V322*U322</f>
        <v>0</v>
      </c>
      <c r="X322" s="164"/>
      <c r="Y322" s="164"/>
      <c r="Z322" s="163"/>
      <c r="AA322" s="163">
        <f>Z322*Y322</f>
        <v>0</v>
      </c>
    </row>
    <row r="323" spans="1:27">
      <c r="C323" s="169" t="s">
        <v>700</v>
      </c>
      <c r="D323" s="164" t="s">
        <v>6</v>
      </c>
      <c r="E323" s="29">
        <f t="shared" si="254"/>
        <v>1</v>
      </c>
      <c r="F323" s="32">
        <v>-1765</v>
      </c>
      <c r="G323" s="32">
        <f t="shared" si="255"/>
        <v>-1765</v>
      </c>
      <c r="H323" s="68"/>
      <c r="I323" s="161"/>
      <c r="J323" s="163"/>
      <c r="K323" s="163"/>
      <c r="L323" s="164"/>
      <c r="M323" s="164">
        <v>1</v>
      </c>
      <c r="N323" s="32">
        <v>-1765</v>
      </c>
      <c r="O323" s="163">
        <f t="shared" si="256"/>
        <v>-1765</v>
      </c>
      <c r="P323" s="164"/>
      <c r="Q323" s="164"/>
      <c r="R323" s="163"/>
      <c r="S323" s="163"/>
      <c r="T323" s="164"/>
      <c r="U323" s="164"/>
      <c r="V323" s="163"/>
      <c r="W323" s="163">
        <f t="shared" ref="W323:W327" si="257">V323*U323</f>
        <v>0</v>
      </c>
      <c r="X323" s="164"/>
      <c r="Y323" s="164"/>
      <c r="Z323" s="163"/>
      <c r="AA323" s="163">
        <f t="shared" ref="AA323:AA327" si="258">Z323*Y323</f>
        <v>0</v>
      </c>
    </row>
    <row r="324" spans="1:27">
      <c r="C324" s="169" t="s">
        <v>702</v>
      </c>
      <c r="D324" s="164" t="s">
        <v>6</v>
      </c>
      <c r="E324" s="29">
        <f t="shared" si="254"/>
        <v>1</v>
      </c>
      <c r="F324" s="32">
        <v>-1891.64</v>
      </c>
      <c r="G324" s="32">
        <f t="shared" si="255"/>
        <v>-1891.64</v>
      </c>
      <c r="H324" s="68"/>
      <c r="I324" s="161"/>
      <c r="J324" s="163"/>
      <c r="K324" s="163"/>
      <c r="L324" s="164"/>
      <c r="M324" s="164"/>
      <c r="N324" s="163"/>
      <c r="O324" s="163"/>
      <c r="P324" s="164"/>
      <c r="Q324" s="164"/>
      <c r="R324" s="163"/>
      <c r="S324" s="163"/>
      <c r="T324" s="164"/>
      <c r="U324" s="164">
        <v>1</v>
      </c>
      <c r="V324" s="32">
        <v>-1891.64</v>
      </c>
      <c r="W324" s="163">
        <f t="shared" si="257"/>
        <v>-1891.64</v>
      </c>
      <c r="X324" s="164"/>
      <c r="Y324" s="164"/>
      <c r="Z324" s="163"/>
      <c r="AA324" s="163">
        <f t="shared" si="258"/>
        <v>0</v>
      </c>
    </row>
    <row r="325" spans="1:27">
      <c r="C325" s="169" t="s">
        <v>703</v>
      </c>
      <c r="D325" s="164" t="s">
        <v>6</v>
      </c>
      <c r="E325" s="29">
        <f t="shared" si="254"/>
        <v>1</v>
      </c>
      <c r="F325" s="32">
        <v>-4353.13</v>
      </c>
      <c r="G325" s="32">
        <f t="shared" si="255"/>
        <v>-4353.13</v>
      </c>
      <c r="H325" s="68"/>
      <c r="I325" s="161"/>
      <c r="J325" s="163"/>
      <c r="K325" s="163"/>
      <c r="L325" s="164"/>
      <c r="M325" s="164"/>
      <c r="N325" s="163"/>
      <c r="O325" s="163"/>
      <c r="P325" s="164"/>
      <c r="Q325" s="164"/>
      <c r="R325" s="163"/>
      <c r="S325" s="163"/>
      <c r="T325" s="164"/>
      <c r="U325" s="164">
        <v>1</v>
      </c>
      <c r="V325" s="32">
        <v>-4353.13</v>
      </c>
      <c r="W325" s="163">
        <f t="shared" si="257"/>
        <v>-4353.13</v>
      </c>
      <c r="X325" s="164"/>
      <c r="Y325" s="164"/>
      <c r="Z325" s="163"/>
      <c r="AA325" s="163">
        <f t="shared" si="258"/>
        <v>0</v>
      </c>
    </row>
    <row r="326" spans="1:27">
      <c r="C326" s="169" t="s">
        <v>965</v>
      </c>
      <c r="D326" s="164" t="s">
        <v>6</v>
      </c>
      <c r="E326" s="29">
        <f t="shared" si="254"/>
        <v>1</v>
      </c>
      <c r="F326" s="32">
        <v>1794.7</v>
      </c>
      <c r="G326" s="32">
        <f t="shared" si="255"/>
        <v>1794.7</v>
      </c>
      <c r="H326" s="68"/>
      <c r="I326" s="161"/>
      <c r="J326" s="163"/>
      <c r="K326" s="163"/>
      <c r="L326" s="164"/>
      <c r="M326" s="164"/>
      <c r="N326" s="163"/>
      <c r="O326" s="163"/>
      <c r="P326" s="164"/>
      <c r="Q326" s="164"/>
      <c r="R326" s="163"/>
      <c r="S326" s="163"/>
      <c r="T326" s="164"/>
      <c r="U326" s="164">
        <v>1</v>
      </c>
      <c r="V326" s="32">
        <v>1794.7</v>
      </c>
      <c r="W326" s="163">
        <f t="shared" si="257"/>
        <v>1794.7</v>
      </c>
      <c r="X326" s="164"/>
      <c r="Y326" s="164"/>
      <c r="Z326" s="163"/>
      <c r="AA326" s="163">
        <f t="shared" si="258"/>
        <v>0</v>
      </c>
    </row>
    <row r="327" spans="1:27">
      <c r="C327" s="387" t="s">
        <v>966</v>
      </c>
      <c r="D327" s="371" t="s">
        <v>6</v>
      </c>
      <c r="E327" s="372">
        <f t="shared" si="254"/>
        <v>1</v>
      </c>
      <c r="F327" s="367">
        <v>-871.14</v>
      </c>
      <c r="G327" s="367">
        <f t="shared" si="255"/>
        <v>-871.14</v>
      </c>
      <c r="H327" s="68"/>
      <c r="I327" s="161"/>
      <c r="J327" s="163"/>
      <c r="K327" s="163"/>
      <c r="L327" s="164"/>
      <c r="M327" s="164"/>
      <c r="N327" s="163"/>
      <c r="O327" s="163"/>
      <c r="P327" s="164"/>
      <c r="Q327" s="164"/>
      <c r="R327" s="163"/>
      <c r="S327" s="163"/>
      <c r="T327" s="164"/>
      <c r="U327" s="371">
        <v>1</v>
      </c>
      <c r="V327" s="367">
        <v>-871.14</v>
      </c>
      <c r="W327" s="373">
        <f t="shared" si="257"/>
        <v>-871.14</v>
      </c>
      <c r="X327" s="164"/>
      <c r="Y327" s="164"/>
      <c r="Z327" s="163"/>
      <c r="AA327" s="163">
        <f t="shared" si="258"/>
        <v>0</v>
      </c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198E0"/>
    <pageSetUpPr fitToPage="1"/>
  </sheetPr>
  <dimension ref="B2:K26"/>
  <sheetViews>
    <sheetView view="pageBreakPreview" zoomScaleNormal="100" zoomScaleSheetLayoutView="100" workbookViewId="0">
      <selection activeCell="K5" sqref="K5"/>
    </sheetView>
  </sheetViews>
  <sheetFormatPr baseColWidth="10" defaultRowHeight="14.4"/>
  <cols>
    <col min="1" max="1" width="4.33203125" customWidth="1"/>
    <col min="2" max="2" width="37.88671875" style="84" customWidth="1"/>
    <col min="3" max="8" width="20.33203125" style="21" customWidth="1"/>
    <col min="9" max="9" width="4.33203125" customWidth="1"/>
    <col min="10" max="10" width="3.5546875" customWidth="1"/>
    <col min="11" max="11" width="14.109375" bestFit="1" customWidth="1"/>
  </cols>
  <sheetData>
    <row r="2" spans="2:11" ht="36.6" customHeight="1">
      <c r="B2" s="500" t="s">
        <v>188</v>
      </c>
      <c r="C2" s="501"/>
      <c r="D2" s="501"/>
      <c r="E2" s="501"/>
      <c r="F2" s="501"/>
      <c r="G2" s="501"/>
      <c r="H2" s="502"/>
    </row>
    <row r="3" spans="2:11" ht="19.95" customHeight="1">
      <c r="B3" s="85" t="s">
        <v>1112</v>
      </c>
      <c r="C3" s="82" t="str">
        <f>'Page de garde'!C15</f>
        <v>IND 00 du 10/06/2025</v>
      </c>
      <c r="D3" s="503" t="s">
        <v>187</v>
      </c>
      <c r="E3" s="504"/>
      <c r="F3" s="504"/>
      <c r="G3" s="504"/>
      <c r="H3" s="505"/>
    </row>
    <row r="4" spans="2:11" ht="25.2" customHeight="1">
      <c r="B4" s="86" t="s">
        <v>42</v>
      </c>
      <c r="C4" s="81" t="s">
        <v>186</v>
      </c>
      <c r="D4" s="95" t="s">
        <v>185</v>
      </c>
      <c r="E4" s="95" t="s">
        <v>31</v>
      </c>
      <c r="F4" s="95" t="s">
        <v>33</v>
      </c>
      <c r="G4" s="95" t="s">
        <v>34</v>
      </c>
      <c r="H4" s="95" t="s">
        <v>35</v>
      </c>
    </row>
    <row r="5" spans="2:11">
      <c r="B5" s="364" t="str">
        <f>'LOT VRD'!A1</f>
        <v>LOT 01 - VRD et Espaces Verts</v>
      </c>
      <c r="C5" s="340">
        <f>'LOT VRD'!G95</f>
        <v>277999.09999999998</v>
      </c>
      <c r="D5" s="341">
        <f>'LOT VRD'!K95</f>
        <v>86075.599999999991</v>
      </c>
      <c r="E5" s="341">
        <f>'LOT VRD'!O95</f>
        <v>33076.5</v>
      </c>
      <c r="F5" s="341">
        <f>'LOT VRD'!S95</f>
        <v>106322.70000000001</v>
      </c>
      <c r="G5" s="341">
        <f>'LOT VRD'!W95</f>
        <v>50839.3</v>
      </c>
      <c r="H5" s="341">
        <f>'LOT VRD'!AA95</f>
        <v>1685</v>
      </c>
      <c r="K5" s="195"/>
    </row>
    <row r="6" spans="2:11">
      <c r="B6" s="364" t="str">
        <f>'LOT FOND'!A1</f>
        <v>LOT 02 - Fondations</v>
      </c>
      <c r="C6" s="340">
        <f>'LOT FOND'!G28</f>
        <v>117440</v>
      </c>
      <c r="D6" s="341">
        <f>'LOT FOND'!K28</f>
        <v>47952.5</v>
      </c>
      <c r="E6" s="341">
        <f>'LOT FOND'!O28</f>
        <v>40290</v>
      </c>
      <c r="F6" s="341">
        <f>'LOT FOND'!S28</f>
        <v>1625</v>
      </c>
      <c r="G6" s="341">
        <f>'LOT FOND'!W28</f>
        <v>27572.5</v>
      </c>
      <c r="H6" s="341">
        <f>'LOT FOND'!AA28</f>
        <v>0</v>
      </c>
      <c r="K6" s="195"/>
    </row>
    <row r="7" spans="2:11">
      <c r="B7" s="364" t="str">
        <f>'LOT GO'!A1</f>
        <v>LOT 03 - Gros Œuvre</v>
      </c>
      <c r="C7" s="340">
        <f>'LOT GO'!G111</f>
        <v>781819.49049799994</v>
      </c>
      <c r="D7" s="341">
        <f>'LOT GO'!K111</f>
        <v>187142.44603000002</v>
      </c>
      <c r="E7" s="341">
        <f>'LOT GO'!O111</f>
        <v>365232.97304399998</v>
      </c>
      <c r="F7" s="341">
        <f>'LOT GO'!S111</f>
        <v>28910.259999999995</v>
      </c>
      <c r="G7" s="341">
        <f>'LOT GO'!W111</f>
        <v>187422.49142399998</v>
      </c>
      <c r="H7" s="341">
        <f>'LOT GO'!AA111</f>
        <v>13111.320000000002</v>
      </c>
      <c r="K7" s="195"/>
    </row>
    <row r="8" spans="2:11">
      <c r="B8" s="364" t="str">
        <f>'LOT ETAN'!A1</f>
        <v>LOT 04 - Etanchéité</v>
      </c>
      <c r="C8" s="340">
        <f>'LOT ETAN'!G37</f>
        <v>132000</v>
      </c>
      <c r="D8" s="341">
        <f>'LOT ETAN'!K37</f>
        <v>28666.319999999996</v>
      </c>
      <c r="E8" s="341">
        <f>'LOT ETAN'!O37</f>
        <v>53402.489999999991</v>
      </c>
      <c r="F8" s="341">
        <f>'LOT ETAN'!S37</f>
        <v>7285.1</v>
      </c>
      <c r="G8" s="341">
        <f>'LOT ETAN'!W37</f>
        <v>42646.09</v>
      </c>
      <c r="H8" s="341">
        <f>'LOT ETAN'!AA37</f>
        <v>0</v>
      </c>
      <c r="K8" s="195"/>
    </row>
    <row r="9" spans="2:11">
      <c r="B9" s="457" t="str">
        <f>'LOT FACA'!A1</f>
        <v>LOT 05 - Façades</v>
      </c>
      <c r="C9" s="340">
        <f>'LOT FACA'!G45</f>
        <v>179999.995</v>
      </c>
      <c r="D9" s="341">
        <f>'LOT FACA'!K45</f>
        <v>25573.08</v>
      </c>
      <c r="E9" s="341">
        <f>'LOT FACA'!O45</f>
        <v>55676.06</v>
      </c>
      <c r="F9" s="341">
        <f>'LOT FACA'!S45</f>
        <v>47674.05</v>
      </c>
      <c r="G9" s="341">
        <f>'LOT FACA'!W45</f>
        <v>50698.505000000005</v>
      </c>
      <c r="H9" s="341">
        <f>'LOT FACA'!AA45</f>
        <v>378.29999999999995</v>
      </c>
      <c r="K9" s="195"/>
    </row>
    <row r="10" spans="2:11">
      <c r="B10" s="457" t="str">
        <f>'LOT MEX'!A1</f>
        <v>LOT 06 - Menuiseries Extérieures</v>
      </c>
      <c r="C10" s="340">
        <f>'LOT MEX'!G66</f>
        <v>169400</v>
      </c>
      <c r="D10" s="341">
        <f>'LOT MEX'!K66</f>
        <v>25046.28</v>
      </c>
      <c r="E10" s="341">
        <f>'LOT MEX'!O66</f>
        <v>64924.508000000002</v>
      </c>
      <c r="F10" s="341">
        <f>'LOT MEX'!S66</f>
        <v>18074.592000000001</v>
      </c>
      <c r="G10" s="341">
        <f>'LOT MEX'!W66</f>
        <v>53437.06</v>
      </c>
      <c r="H10" s="341">
        <f>'LOT MEX'!AA66</f>
        <v>7917.5599999999995</v>
      </c>
      <c r="K10" s="195"/>
    </row>
    <row r="11" spans="2:11">
      <c r="B11" s="364" t="str">
        <f>'LOT DEM'!A1</f>
        <v>LOT 07 - Démolition et Curage</v>
      </c>
      <c r="C11" s="340">
        <f>'LOT DEM'!G16</f>
        <v>38125</v>
      </c>
      <c r="D11" s="341">
        <f>'LOT DEM'!K16</f>
        <v>3750</v>
      </c>
      <c r="E11" s="341">
        <f>'LOT DEM'!O16</f>
        <v>6000</v>
      </c>
      <c r="F11" s="341">
        <f>'LOT DEM'!S16</f>
        <v>7625</v>
      </c>
      <c r="G11" s="341">
        <f>'LOT DEM'!W16</f>
        <v>17500</v>
      </c>
      <c r="H11" s="341">
        <f>'LOT DEM'!AA16</f>
        <v>3250</v>
      </c>
      <c r="K11" s="195"/>
    </row>
    <row r="12" spans="2:11" ht="28.8">
      <c r="B12" s="364" t="str">
        <f>'LOT CLOI'!A1</f>
        <v>LOT 08 - Confinement, cloisonnement, doublage, Faux-plafond fixe, peinture</v>
      </c>
      <c r="C12" s="340">
        <f>'LOT CLOI'!G58</f>
        <v>324986.7</v>
      </c>
      <c r="D12" s="341">
        <f>'LOT CLOI'!K58</f>
        <v>20992.7</v>
      </c>
      <c r="E12" s="341">
        <f>'LOT CLOI'!O58</f>
        <v>84663</v>
      </c>
      <c r="F12" s="341">
        <f>'LOT CLOI'!S58</f>
        <v>85202.8</v>
      </c>
      <c r="G12" s="341">
        <f>'LOT CLOI'!W58</f>
        <v>105844.4</v>
      </c>
      <c r="H12" s="341">
        <f>'LOT CLOI'!AA58</f>
        <v>28283.8</v>
      </c>
      <c r="K12" s="195"/>
    </row>
    <row r="13" spans="2:11">
      <c r="B13" s="364" t="str">
        <f>'LOT PLA'!A1</f>
        <v>LOT 09 - Faux-plafond démontable</v>
      </c>
      <c r="C13" s="340">
        <f>'LOT PLA'!G23</f>
        <v>28800</v>
      </c>
      <c r="D13" s="341">
        <f>'LOT PLA'!K23</f>
        <v>2951.08</v>
      </c>
      <c r="E13" s="341">
        <f>'LOT PLA'!O23</f>
        <v>9521.0440000000017</v>
      </c>
      <c r="F13" s="341">
        <f>'LOT PLA'!S23</f>
        <v>7492.5680000000002</v>
      </c>
      <c r="G13" s="341">
        <f>'LOT PLA'!W23</f>
        <v>7249.7</v>
      </c>
      <c r="H13" s="341">
        <f>'LOT PLA'!AA23</f>
        <v>1585.6079999999999</v>
      </c>
      <c r="K13" s="195"/>
    </row>
    <row r="14" spans="2:11" ht="28.8">
      <c r="B14" s="457" t="str">
        <f>'LOT MINT'!A1</f>
        <v>LOT 10 - Menuiseries Intérieures, mobilier, signalétique</v>
      </c>
      <c r="C14" s="340">
        <f>'LOT MINT'!G121</f>
        <v>357871.67</v>
      </c>
      <c r="D14" s="341">
        <f>'LOT MINT'!K121</f>
        <v>65793.820600000006</v>
      </c>
      <c r="E14" s="341">
        <f>'LOT MINT'!O121</f>
        <v>56232.537200000006</v>
      </c>
      <c r="F14" s="341">
        <f>'LOT MINT'!S121</f>
        <v>117196.9911</v>
      </c>
      <c r="G14" s="341">
        <f>'LOT MINT'!W121</f>
        <v>100989.98760000001</v>
      </c>
      <c r="H14" s="341">
        <f>'LOT MINT'!AA121</f>
        <v>17658.333500000004</v>
      </c>
      <c r="K14" s="195"/>
    </row>
    <row r="15" spans="2:11">
      <c r="B15" s="457" t="str">
        <f>'LOT SOL'!A1</f>
        <v>LOT 11 - Sol souples</v>
      </c>
      <c r="C15" s="92">
        <f>'LOT SOL'!G28</f>
        <v>143241.5</v>
      </c>
      <c r="D15" s="80">
        <f>'LOT SOL'!K28</f>
        <v>6851</v>
      </c>
      <c r="E15" s="80">
        <f>'LOT SOL'!O28</f>
        <v>35000.400000000001</v>
      </c>
      <c r="F15" s="80">
        <f>'LOT SOL'!S28</f>
        <v>45804.7</v>
      </c>
      <c r="G15" s="80">
        <f>'LOT SOL'!W28</f>
        <v>47110.8</v>
      </c>
      <c r="H15" s="80">
        <f>'LOT SOL'!AA28</f>
        <v>8474.6</v>
      </c>
      <c r="K15" s="195"/>
    </row>
    <row r="16" spans="2:11">
      <c r="B16" s="364" t="str">
        <f>'LOT PAU'!A1</f>
        <v>LOT 12 - Portes automatiques</v>
      </c>
      <c r="C16" s="92">
        <f>'LOT PAU'!G27</f>
        <v>84812</v>
      </c>
      <c r="D16" s="80">
        <f>'LOT PAU'!K27</f>
        <v>0</v>
      </c>
      <c r="E16" s="80">
        <f>'LOT PAU'!O27</f>
        <v>35512</v>
      </c>
      <c r="F16" s="80">
        <f>'LOT PAU'!S27</f>
        <v>39124</v>
      </c>
      <c r="G16" s="80">
        <f>'LOT PAU'!W27</f>
        <v>10176</v>
      </c>
      <c r="H16" s="80">
        <f>'LOT PAU'!AA27</f>
        <v>0</v>
      </c>
      <c r="K16" s="195"/>
    </row>
    <row r="17" spans="2:11">
      <c r="B17" s="364" t="str">
        <f>'LOT CVC'!A1</f>
        <v>LOT 13A - CVC et Désenfumage</v>
      </c>
      <c r="C17" s="92">
        <f>'LOT CVC'!G200</f>
        <v>576358.40000000002</v>
      </c>
      <c r="D17" s="80">
        <f>'LOT CVC'!K200</f>
        <v>60067.857199999999</v>
      </c>
      <c r="E17" s="80">
        <f>'LOT CVC'!O200</f>
        <v>183162.04879999999</v>
      </c>
      <c r="F17" s="80">
        <f>'LOT CVC'!S200</f>
        <v>144508.11120000001</v>
      </c>
      <c r="G17" s="80">
        <f>'LOT CVC'!W200</f>
        <v>169368.43920000005</v>
      </c>
      <c r="H17" s="80">
        <f>'LOT CVC'!AA200</f>
        <v>19251.943600000002</v>
      </c>
      <c r="K17" s="195"/>
    </row>
    <row r="18" spans="2:11">
      <c r="B18" s="364" t="str">
        <f>'LOT PLB'!A1</f>
        <v>LOT 13B - Plomberie Sanitaires</v>
      </c>
      <c r="C18" s="92">
        <f>'LOT PLB'!G83</f>
        <v>159522</v>
      </c>
      <c r="D18" s="80">
        <f>'LOT PLB'!K83</f>
        <v>33860.199999999997</v>
      </c>
      <c r="E18" s="80">
        <f>'LOT PLB'!O83</f>
        <v>15757.1</v>
      </c>
      <c r="F18" s="80">
        <f>'LOT PLB'!S83</f>
        <v>37503.1</v>
      </c>
      <c r="G18" s="80">
        <f>'LOT PLB'!W83</f>
        <v>58234.5</v>
      </c>
      <c r="H18" s="80">
        <f>'LOT PLB'!AA83</f>
        <v>14167.1</v>
      </c>
      <c r="K18" s="195"/>
    </row>
    <row r="19" spans="2:11">
      <c r="B19" s="364" t="str">
        <f>'LOT FLU'!A1</f>
        <v>LOT 13C - Fluides médicaux</v>
      </c>
      <c r="C19" s="92">
        <f>'LOT FLU'!G44</f>
        <v>77145</v>
      </c>
      <c r="D19" s="80">
        <f>'LOT FLU'!K44</f>
        <v>10409</v>
      </c>
      <c r="E19" s="80">
        <f>'LOT FLU'!O44</f>
        <v>15863</v>
      </c>
      <c r="F19" s="80">
        <f>'LOT FLU'!S44</f>
        <v>18942</v>
      </c>
      <c r="G19" s="80">
        <f>'LOT FLU'!W44</f>
        <v>30431</v>
      </c>
      <c r="H19" s="80">
        <f>'LOT FLU'!AA44</f>
        <v>1500</v>
      </c>
      <c r="K19" s="195"/>
    </row>
    <row r="20" spans="2:11">
      <c r="B20" s="364" t="str">
        <f>'LOT CFO'!A1</f>
        <v>LOT 14A - CFO - CFA</v>
      </c>
      <c r="C20" s="92">
        <f>'LOT CFO'!G313</f>
        <v>575000.00299999991</v>
      </c>
      <c r="D20" s="80">
        <f>'LOT CFO'!K313</f>
        <v>155195.959</v>
      </c>
      <c r="E20" s="80">
        <f>'LOT CFO'!O313</f>
        <v>78809.346999999994</v>
      </c>
      <c r="F20" s="80">
        <f>'LOT CFO'!S313</f>
        <v>97531.713000000003</v>
      </c>
      <c r="G20" s="80">
        <f>'LOT CFO'!W313</f>
        <v>205979.77999999997</v>
      </c>
      <c r="H20" s="80">
        <f>'LOT CFO'!AA313</f>
        <v>37483.204000000005</v>
      </c>
      <c r="K20" s="195"/>
    </row>
    <row r="21" spans="2:11">
      <c r="B21" s="364" t="str">
        <f>'LOT CFA'!A1</f>
        <v>LOT 14B - Sureté</v>
      </c>
      <c r="C21" s="92">
        <f>'LOT CFA'!G101</f>
        <v>122000.00400000002</v>
      </c>
      <c r="D21" s="80">
        <f>'LOT CFA'!K101</f>
        <v>30339.9548</v>
      </c>
      <c r="E21" s="80">
        <f>'LOT CFA'!O101</f>
        <v>7458.9968000000008</v>
      </c>
      <c r="F21" s="80">
        <f>'LOT CFA'!S101</f>
        <v>41530.880800000006</v>
      </c>
      <c r="G21" s="80">
        <f>'LOT CFA'!W101</f>
        <v>28022.910799999998</v>
      </c>
      <c r="H21" s="80">
        <f>'LOT CFA'!AA101</f>
        <v>14647.260799999998</v>
      </c>
      <c r="K21" s="195"/>
    </row>
    <row r="22" spans="2:11">
      <c r="B22" s="364" t="str">
        <f>'LOT NET'!A1</f>
        <v>LOT 15 - Nettoyage</v>
      </c>
      <c r="C22" s="92">
        <f>'LOT NET'!G15</f>
        <v>15760</v>
      </c>
      <c r="D22" s="80">
        <f>'LOT NET'!K15</f>
        <v>2120</v>
      </c>
      <c r="E22" s="80">
        <f>'LOT NET'!O15</f>
        <v>3760</v>
      </c>
      <c r="F22" s="80">
        <f>'LOT NET'!S15</f>
        <v>4800</v>
      </c>
      <c r="G22" s="80">
        <f>'LOT NET'!W15</f>
        <v>4640</v>
      </c>
      <c r="H22" s="80">
        <f>'LOT NET'!AA15</f>
        <v>440</v>
      </c>
      <c r="K22" s="195"/>
    </row>
    <row r="23" spans="2:11" ht="5.4" customHeight="1">
      <c r="B23" s="83"/>
      <c r="C23" s="93"/>
      <c r="D23" s="80"/>
      <c r="E23" s="80"/>
      <c r="F23" s="80"/>
      <c r="G23" s="80"/>
      <c r="H23" s="80"/>
      <c r="K23" s="195"/>
    </row>
    <row r="24" spans="2:11" ht="36.6" customHeight="1">
      <c r="B24" s="87" t="s">
        <v>1111</v>
      </c>
      <c r="C24" s="94">
        <f t="shared" ref="C24:H24" si="0">SUM(C5:C23)</f>
        <v>4162280.8624980003</v>
      </c>
      <c r="D24" s="96">
        <f t="shared" si="0"/>
        <v>792787.79762999993</v>
      </c>
      <c r="E24" s="96">
        <f t="shared" si="0"/>
        <v>1144342.0048440001</v>
      </c>
      <c r="F24" s="96">
        <f t="shared" si="0"/>
        <v>857153.56610000005</v>
      </c>
      <c r="G24" s="96">
        <f t="shared" si="0"/>
        <v>1198163.4640239999</v>
      </c>
      <c r="H24" s="96">
        <f t="shared" si="0"/>
        <v>169834.02989999999</v>
      </c>
      <c r="K24" s="318"/>
    </row>
    <row r="25" spans="2:11" ht="36.6" customHeight="1">
      <c r="B25" s="199" t="s">
        <v>568</v>
      </c>
      <c r="C25" s="200">
        <f>C24*130.8/131.2</f>
        <v>4149590.9818196539</v>
      </c>
      <c r="D25" s="201">
        <f>D24*130.8/132.5</f>
        <v>782616.18060380383</v>
      </c>
      <c r="E25" s="201">
        <f>E24*130.8/132.5</f>
        <v>1129659.8810082658</v>
      </c>
      <c r="F25" s="201">
        <f>F24*130.8/132.5</f>
        <v>846156.12411984918</v>
      </c>
      <c r="G25" s="201">
        <f>G24*130.8/132.5</f>
        <v>1182790.8007119938</v>
      </c>
      <c r="H25" s="201">
        <f>H24*130.8/132.5</f>
        <v>167655.02725222643</v>
      </c>
      <c r="K25" s="195"/>
    </row>
    <row r="26" spans="2:11" ht="36.6" customHeight="1">
      <c r="B26" s="206" t="s">
        <v>649</v>
      </c>
      <c r="C26" s="205">
        <v>4511446</v>
      </c>
    </row>
  </sheetData>
  <mergeCells count="2">
    <mergeCell ref="B2:H2"/>
    <mergeCell ref="D3:H3"/>
  </mergeCells>
  <printOptions horizontalCentered="1" verticalCentered="1"/>
  <pageMargins left="0.25" right="0.25" top="0.75" bottom="0.75" header="0.3" footer="0.3"/>
  <pageSetup paperSize="9" scale="84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  <pageSetUpPr fitToPage="1"/>
  </sheetPr>
  <dimension ref="A1:AA104"/>
  <sheetViews>
    <sheetView showGridLines="0" view="pageBreakPreview" zoomScale="70" zoomScaleNormal="85" zoomScaleSheetLayoutView="70" workbookViewId="0">
      <pane ySplit="5" topLeftCell="A6" activePane="bottomLeft" state="frozen"/>
      <selection activeCell="C15" sqref="C15:I15"/>
      <selection pane="bottomLeft" activeCell="N110" sqref="N110"/>
    </sheetView>
  </sheetViews>
  <sheetFormatPr baseColWidth="10" defaultColWidth="11.44140625" defaultRowHeight="14.4"/>
  <cols>
    <col min="1" max="1" width="3.33203125" style="2" customWidth="1"/>
    <col min="2" max="2" width="4.109375" style="3" customWidth="1"/>
    <col min="3" max="3" width="55.6640625" style="24" customWidth="1"/>
    <col min="4" max="4" width="4.5546875" style="1" bestFit="1" customWidth="1"/>
    <col min="5" max="5" width="7.88671875" style="1" customWidth="1"/>
    <col min="6" max="6" width="12" style="1" customWidth="1"/>
    <col min="7" max="7" width="14.5546875" style="1" bestFit="1" customWidth="1"/>
    <col min="8" max="8" width="2.6640625" style="1" customWidth="1"/>
    <col min="9" max="9" width="11.33203125" style="1" bestFit="1" customWidth="1"/>
    <col min="10" max="10" width="12" style="1" bestFit="1" customWidth="1"/>
    <col min="11" max="11" width="14.5546875" style="1" customWidth="1"/>
    <col min="12" max="12" width="2.6640625" style="1" customWidth="1"/>
    <col min="13" max="13" width="10.33203125" style="189" bestFit="1" customWidth="1"/>
    <col min="14" max="14" width="12" style="1" bestFit="1" customWidth="1"/>
    <col min="15" max="15" width="14.5546875" style="1" customWidth="1"/>
    <col min="16" max="16" width="2.6640625" style="1" customWidth="1"/>
    <col min="17" max="17" width="9" style="189" bestFit="1" customWidth="1"/>
    <col min="18" max="18" width="12" style="1" bestFit="1" customWidth="1"/>
    <col min="19" max="19" width="14.5546875" style="1" customWidth="1"/>
    <col min="20" max="20" width="2.6640625" style="1" customWidth="1"/>
    <col min="21" max="21" width="8.33203125" style="189" bestFit="1" customWidth="1"/>
    <col min="22" max="22" width="12" style="1" bestFit="1" customWidth="1"/>
    <col min="23" max="23" width="14.5546875" style="1" customWidth="1"/>
    <col min="24" max="24" width="2.6640625" style="1" customWidth="1"/>
    <col min="25" max="25" width="7.5546875" style="189" bestFit="1" customWidth="1"/>
    <col min="26" max="26" width="12" style="1" bestFit="1" customWidth="1"/>
    <col min="27" max="27" width="14.5546875" style="1" customWidth="1"/>
    <col min="28" max="28" width="14.5546875" style="1" bestFit="1" customWidth="1"/>
    <col min="29" max="29" width="12.109375" style="1" bestFit="1" customWidth="1"/>
    <col min="30" max="30" width="11.44140625" style="1"/>
    <col min="31" max="31" width="15" style="1" customWidth="1"/>
    <col min="32" max="16384" width="11.44140625" style="1"/>
  </cols>
  <sheetData>
    <row r="1" spans="1:27" ht="23.25" customHeight="1">
      <c r="A1" s="566" t="s">
        <v>1107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8"/>
    </row>
    <row r="2" spans="1:27" ht="8.4" customHeight="1">
      <c r="A2" s="15"/>
      <c r="C2" s="3"/>
      <c r="D2" s="3"/>
      <c r="E2" s="3"/>
      <c r="F2" s="3"/>
      <c r="G2" s="23"/>
      <c r="H2" s="3"/>
      <c r="I2" s="3"/>
      <c r="J2" s="3"/>
      <c r="K2" s="3"/>
      <c r="L2" s="3"/>
      <c r="M2" s="204"/>
      <c r="N2" s="3"/>
      <c r="O2" s="3"/>
      <c r="P2" s="3"/>
      <c r="Q2" s="204"/>
      <c r="R2" s="3"/>
      <c r="S2" s="3"/>
      <c r="T2" s="3"/>
      <c r="U2" s="204"/>
      <c r="V2" s="3"/>
      <c r="W2" s="3"/>
      <c r="X2" s="3"/>
      <c r="Y2" s="204"/>
      <c r="Z2" s="3"/>
      <c r="AA2" s="23"/>
    </row>
    <row r="3" spans="1:27" ht="19.5" customHeight="1">
      <c r="A3" s="16"/>
      <c r="C3" s="203" t="str">
        <f>'Page de garde'!C15</f>
        <v>IND 00 du 10/06/2025</v>
      </c>
      <c r="E3" s="569" t="s">
        <v>12</v>
      </c>
      <c r="F3" s="570"/>
      <c r="G3" s="571"/>
      <c r="I3" s="572" t="s">
        <v>30</v>
      </c>
      <c r="J3" s="573"/>
      <c r="K3" s="574"/>
      <c r="M3" s="572" t="s">
        <v>31</v>
      </c>
      <c r="N3" s="573"/>
      <c r="O3" s="574"/>
      <c r="Q3" s="572" t="s">
        <v>33</v>
      </c>
      <c r="R3" s="573"/>
      <c r="S3" s="574"/>
      <c r="U3" s="572" t="s">
        <v>34</v>
      </c>
      <c r="V3" s="573"/>
      <c r="W3" s="574"/>
      <c r="Y3" s="572" t="s">
        <v>35</v>
      </c>
      <c r="Z3" s="573"/>
      <c r="AA3" s="574"/>
    </row>
    <row r="4" spans="1:27" ht="19.5" customHeight="1">
      <c r="A4" s="16"/>
      <c r="E4" s="76"/>
      <c r="F4" s="77"/>
      <c r="G4" s="78" t="s">
        <v>11</v>
      </c>
      <c r="I4" s="57"/>
      <c r="J4" s="58"/>
      <c r="K4" s="59" t="s">
        <v>11</v>
      </c>
      <c r="M4" s="183"/>
      <c r="N4" s="58"/>
      <c r="O4" s="59" t="s">
        <v>11</v>
      </c>
      <c r="Q4" s="183"/>
      <c r="R4" s="58"/>
      <c r="S4" s="59" t="s">
        <v>11</v>
      </c>
      <c r="U4" s="183"/>
      <c r="V4" s="58"/>
      <c r="W4" s="59" t="s">
        <v>11</v>
      </c>
      <c r="Y4" s="183"/>
      <c r="Z4" s="58"/>
      <c r="AA4" s="59" t="s">
        <v>11</v>
      </c>
    </row>
    <row r="5" spans="1:27" s="17" customFormat="1" ht="24">
      <c r="A5" s="565" t="s">
        <v>1</v>
      </c>
      <c r="B5" s="565"/>
      <c r="C5" s="25" t="s">
        <v>2</v>
      </c>
      <c r="D5" s="18" t="s">
        <v>0</v>
      </c>
      <c r="E5" s="79" t="s">
        <v>3</v>
      </c>
      <c r="F5" s="79" t="s">
        <v>4</v>
      </c>
      <c r="G5" s="79" t="s">
        <v>5</v>
      </c>
      <c r="H5" s="18"/>
      <c r="I5" s="19" t="s">
        <v>3</v>
      </c>
      <c r="J5" s="19" t="s">
        <v>4</v>
      </c>
      <c r="K5" s="19" t="s">
        <v>5</v>
      </c>
      <c r="L5" s="20"/>
      <c r="M5" s="184" t="s">
        <v>3</v>
      </c>
      <c r="N5" s="19" t="s">
        <v>4</v>
      </c>
      <c r="O5" s="19" t="s">
        <v>5</v>
      </c>
      <c r="P5" s="20"/>
      <c r="Q5" s="184" t="s">
        <v>3</v>
      </c>
      <c r="R5" s="19" t="s">
        <v>4</v>
      </c>
      <c r="S5" s="19" t="s">
        <v>5</v>
      </c>
      <c r="T5" s="20"/>
      <c r="U5" s="184" t="s">
        <v>3</v>
      </c>
      <c r="V5" s="19" t="s">
        <v>4</v>
      </c>
      <c r="W5" s="19" t="s">
        <v>5</v>
      </c>
      <c r="X5" s="20"/>
      <c r="Y5" s="184" t="s">
        <v>3</v>
      </c>
      <c r="Z5" s="19" t="s">
        <v>4</v>
      </c>
      <c r="AA5" s="19" t="s">
        <v>5</v>
      </c>
    </row>
    <row r="6" spans="1:27">
      <c r="A6" s="61"/>
      <c r="B6" s="62" t="s">
        <v>19</v>
      </c>
      <c r="C6" s="173" t="s">
        <v>322</v>
      </c>
      <c r="D6" s="174"/>
      <c r="E6" s="65"/>
      <c r="F6" s="66"/>
      <c r="G6" s="66"/>
      <c r="H6" s="64"/>
      <c r="I6" s="178">
        <v>0</v>
      </c>
      <c r="J6" s="180"/>
      <c r="K6" s="180"/>
      <c r="L6" s="180"/>
      <c r="M6" s="178"/>
      <c r="N6" s="180"/>
      <c r="O6" s="180"/>
      <c r="P6" s="180"/>
      <c r="Q6" s="178"/>
      <c r="R6" s="180"/>
      <c r="S6" s="180"/>
      <c r="T6" s="180"/>
      <c r="U6" s="178"/>
      <c r="V6" s="180"/>
      <c r="W6" s="180"/>
      <c r="X6" s="180"/>
      <c r="Y6" s="178"/>
      <c r="Z6" s="180"/>
      <c r="AA6" s="180"/>
    </row>
    <row r="7" spans="1:27">
      <c r="A7" s="14"/>
      <c r="B7" s="31"/>
      <c r="C7" s="190" t="s">
        <v>224</v>
      </c>
      <c r="D7" s="371" t="s">
        <v>295</v>
      </c>
      <c r="E7" s="372">
        <v>1</v>
      </c>
      <c r="F7" s="373">
        <v>3462.06</v>
      </c>
      <c r="G7" s="373">
        <f>K7+O7+S7+W7+AA7</f>
        <v>3462.0600000000004</v>
      </c>
      <c r="H7" s="67"/>
      <c r="I7" s="372">
        <v>0.2</v>
      </c>
      <c r="J7" s="373">
        <v>3462.06</v>
      </c>
      <c r="K7" s="373">
        <f>I7*J7</f>
        <v>692.41200000000003</v>
      </c>
      <c r="L7" s="163"/>
      <c r="M7" s="372">
        <v>0.2</v>
      </c>
      <c r="N7" s="373">
        <v>3462.06</v>
      </c>
      <c r="O7" s="373">
        <f t="shared" ref="O7:O12" si="0">M7*N7</f>
        <v>692.41200000000003</v>
      </c>
      <c r="P7" s="163"/>
      <c r="Q7" s="372">
        <v>0.2</v>
      </c>
      <c r="R7" s="373">
        <v>3462.06</v>
      </c>
      <c r="S7" s="373">
        <f t="shared" ref="S7:S12" si="1">Q7*R7</f>
        <v>692.41200000000003</v>
      </c>
      <c r="T7" s="163"/>
      <c r="U7" s="372">
        <v>0.2</v>
      </c>
      <c r="V7" s="373">
        <v>3462.06</v>
      </c>
      <c r="W7" s="373">
        <f t="shared" ref="W7:W12" si="2">U7*V7</f>
        <v>692.41200000000003</v>
      </c>
      <c r="X7" s="163"/>
      <c r="Y7" s="372">
        <v>0.2</v>
      </c>
      <c r="Z7" s="373">
        <v>3462.06</v>
      </c>
      <c r="AA7" s="373">
        <f t="shared" ref="AA7:AA12" si="3">Y7*Z7</f>
        <v>692.41200000000003</v>
      </c>
    </row>
    <row r="8" spans="1:27">
      <c r="A8" s="14"/>
      <c r="B8" s="31"/>
      <c r="C8" s="190" t="s">
        <v>225</v>
      </c>
      <c r="D8" s="166" t="s">
        <v>6</v>
      </c>
      <c r="E8" s="29">
        <f t="shared" ref="E8:E12" si="4">I8+M8+Q8+U8+Y8</f>
        <v>1</v>
      </c>
      <c r="F8" s="32">
        <v>2537.7939999999999</v>
      </c>
      <c r="G8" s="32">
        <f t="shared" ref="G8:G12" si="5">K8+O8+S8+W8+AA8</f>
        <v>2537.7939999999999</v>
      </c>
      <c r="H8" s="67"/>
      <c r="I8" s="29">
        <v>0.2</v>
      </c>
      <c r="J8" s="32">
        <v>2537.7939999999999</v>
      </c>
      <c r="K8" s="163">
        <f t="shared" ref="K8:K12" si="6">I8*J8</f>
        <v>507.55880000000002</v>
      </c>
      <c r="L8" s="163"/>
      <c r="M8" s="29">
        <v>0.2</v>
      </c>
      <c r="N8" s="32">
        <v>2537.7939999999999</v>
      </c>
      <c r="O8" s="163">
        <f t="shared" si="0"/>
        <v>507.55880000000002</v>
      </c>
      <c r="P8" s="163"/>
      <c r="Q8" s="29">
        <v>0.2</v>
      </c>
      <c r="R8" s="32">
        <v>2537.7939999999999</v>
      </c>
      <c r="S8" s="163">
        <f t="shared" si="1"/>
        <v>507.55880000000002</v>
      </c>
      <c r="T8" s="163"/>
      <c r="U8" s="29">
        <v>0.2</v>
      </c>
      <c r="V8" s="32">
        <v>2537.7939999999999</v>
      </c>
      <c r="W8" s="163">
        <f t="shared" si="2"/>
        <v>507.55880000000002</v>
      </c>
      <c r="X8" s="163"/>
      <c r="Y8" s="29">
        <v>0.2</v>
      </c>
      <c r="Z8" s="32">
        <v>2537.7939999999999</v>
      </c>
      <c r="AA8" s="163">
        <f t="shared" si="3"/>
        <v>507.55880000000002</v>
      </c>
    </row>
    <row r="9" spans="1:27" ht="27.6">
      <c r="A9" s="14"/>
      <c r="B9" s="31"/>
      <c r="C9" s="168" t="s">
        <v>226</v>
      </c>
      <c r="D9" s="166" t="s">
        <v>6</v>
      </c>
      <c r="E9" s="29">
        <f t="shared" si="4"/>
        <v>1</v>
      </c>
      <c r="F9" s="32">
        <v>980.93</v>
      </c>
      <c r="G9" s="32">
        <f t="shared" si="5"/>
        <v>980.93</v>
      </c>
      <c r="H9" s="67"/>
      <c r="I9" s="161">
        <v>0</v>
      </c>
      <c r="J9" s="163"/>
      <c r="K9" s="163">
        <f t="shared" si="6"/>
        <v>0</v>
      </c>
      <c r="L9" s="163"/>
      <c r="M9" s="161"/>
      <c r="N9" s="163"/>
      <c r="O9" s="163">
        <f t="shared" si="0"/>
        <v>0</v>
      </c>
      <c r="P9" s="163"/>
      <c r="Q9" s="161"/>
      <c r="R9" s="163"/>
      <c r="S9" s="163">
        <f t="shared" si="1"/>
        <v>0</v>
      </c>
      <c r="T9" s="163"/>
      <c r="U9" s="161"/>
      <c r="V9" s="163"/>
      <c r="W9" s="163">
        <f t="shared" si="2"/>
        <v>0</v>
      </c>
      <c r="X9" s="163"/>
      <c r="Y9" s="161">
        <v>1</v>
      </c>
      <c r="Z9" s="32">
        <v>980.93</v>
      </c>
      <c r="AA9" s="163">
        <f t="shared" si="3"/>
        <v>980.93</v>
      </c>
    </row>
    <row r="10" spans="1:27">
      <c r="A10" s="14"/>
      <c r="B10" s="31"/>
      <c r="C10" s="168" t="s">
        <v>323</v>
      </c>
      <c r="D10" s="166" t="s">
        <v>249</v>
      </c>
      <c r="E10" s="29">
        <f t="shared" si="4"/>
        <v>0</v>
      </c>
      <c r="F10" s="32"/>
      <c r="G10" s="32">
        <f t="shared" si="5"/>
        <v>0</v>
      </c>
      <c r="H10" s="67"/>
      <c r="I10" s="161">
        <v>0</v>
      </c>
      <c r="J10" s="163">
        <v>0</v>
      </c>
      <c r="K10" s="163">
        <f t="shared" si="6"/>
        <v>0</v>
      </c>
      <c r="L10" s="163"/>
      <c r="M10" s="161"/>
      <c r="N10" s="163">
        <v>0</v>
      </c>
      <c r="O10" s="163">
        <f t="shared" si="0"/>
        <v>0</v>
      </c>
      <c r="P10" s="163"/>
      <c r="Q10" s="161"/>
      <c r="R10" s="163">
        <v>0</v>
      </c>
      <c r="S10" s="163">
        <f t="shared" si="1"/>
        <v>0</v>
      </c>
      <c r="T10" s="163"/>
      <c r="U10" s="161"/>
      <c r="V10" s="163">
        <v>0</v>
      </c>
      <c r="W10" s="163">
        <f t="shared" si="2"/>
        <v>0</v>
      </c>
      <c r="X10" s="163"/>
      <c r="Y10" s="161"/>
      <c r="Z10" s="163">
        <v>0</v>
      </c>
      <c r="AA10" s="163">
        <f t="shared" si="3"/>
        <v>0</v>
      </c>
    </row>
    <row r="11" spans="1:27" ht="27.6">
      <c r="A11" s="14"/>
      <c r="B11" s="27"/>
      <c r="C11" s="190" t="s">
        <v>324</v>
      </c>
      <c r="D11" s="371" t="s">
        <v>295</v>
      </c>
      <c r="E11" s="372">
        <v>1</v>
      </c>
      <c r="F11" s="373">
        <v>4686.3900000000003</v>
      </c>
      <c r="G11" s="373">
        <f t="shared" si="5"/>
        <v>4686.3900000000003</v>
      </c>
      <c r="H11" s="68"/>
      <c r="I11" s="372">
        <v>0.2</v>
      </c>
      <c r="J11" s="373">
        <v>4686.3900000000003</v>
      </c>
      <c r="K11" s="373">
        <f t="shared" si="6"/>
        <v>937.27800000000013</v>
      </c>
      <c r="L11" s="163"/>
      <c r="M11" s="372">
        <v>0.2</v>
      </c>
      <c r="N11" s="373">
        <v>4686.3900000000003</v>
      </c>
      <c r="O11" s="373">
        <f t="shared" si="0"/>
        <v>937.27800000000013</v>
      </c>
      <c r="P11" s="163"/>
      <c r="Q11" s="372">
        <v>0.2</v>
      </c>
      <c r="R11" s="373">
        <v>4686.3900000000003</v>
      </c>
      <c r="S11" s="373">
        <f t="shared" si="1"/>
        <v>937.27800000000013</v>
      </c>
      <c r="T11" s="163"/>
      <c r="U11" s="372">
        <v>0.2</v>
      </c>
      <c r="V11" s="373">
        <v>4686.3900000000003</v>
      </c>
      <c r="W11" s="373">
        <f t="shared" si="2"/>
        <v>937.27800000000013</v>
      </c>
      <c r="X11" s="163"/>
      <c r="Y11" s="372">
        <v>0.2</v>
      </c>
      <c r="Z11" s="373">
        <v>4686.3900000000003</v>
      </c>
      <c r="AA11" s="373">
        <f t="shared" si="3"/>
        <v>937.27800000000013</v>
      </c>
    </row>
    <row r="12" spans="1:27">
      <c r="A12" s="14"/>
      <c r="B12" s="27"/>
      <c r="C12" s="190" t="s">
        <v>325</v>
      </c>
      <c r="D12" s="164" t="s">
        <v>230</v>
      </c>
      <c r="E12" s="29">
        <f t="shared" si="4"/>
        <v>0</v>
      </c>
      <c r="F12" s="32"/>
      <c r="G12" s="32">
        <f t="shared" si="5"/>
        <v>0</v>
      </c>
      <c r="H12" s="68"/>
      <c r="I12" s="161">
        <v>0</v>
      </c>
      <c r="J12" s="163">
        <v>0</v>
      </c>
      <c r="K12" s="163">
        <f t="shared" si="6"/>
        <v>0</v>
      </c>
      <c r="L12" s="163"/>
      <c r="M12" s="161"/>
      <c r="N12" s="163">
        <v>0</v>
      </c>
      <c r="O12" s="163">
        <f t="shared" si="0"/>
        <v>0</v>
      </c>
      <c r="P12" s="163"/>
      <c r="Q12" s="161"/>
      <c r="R12" s="163">
        <v>0</v>
      </c>
      <c r="S12" s="163">
        <f t="shared" si="1"/>
        <v>0</v>
      </c>
      <c r="T12" s="163"/>
      <c r="U12" s="161"/>
      <c r="V12" s="163">
        <v>0</v>
      </c>
      <c r="W12" s="163">
        <f t="shared" si="2"/>
        <v>0</v>
      </c>
      <c r="X12" s="163"/>
      <c r="Y12" s="161"/>
      <c r="Z12" s="163">
        <v>0</v>
      </c>
      <c r="AA12" s="163">
        <f t="shared" si="3"/>
        <v>0</v>
      </c>
    </row>
    <row r="13" spans="1:27">
      <c r="A13" s="14"/>
      <c r="B13" s="31"/>
      <c r="C13" s="168"/>
      <c r="D13" s="164"/>
      <c r="E13" s="29"/>
      <c r="F13" s="33"/>
      <c r="G13" s="34"/>
      <c r="H13" s="67"/>
      <c r="I13" s="161"/>
      <c r="J13" s="163"/>
      <c r="K13" s="163"/>
      <c r="L13" s="163"/>
      <c r="M13" s="161"/>
      <c r="N13" s="163"/>
      <c r="O13" s="163"/>
      <c r="P13" s="163"/>
      <c r="Q13" s="161"/>
      <c r="R13" s="163"/>
      <c r="S13" s="163"/>
      <c r="T13" s="163"/>
      <c r="U13" s="161"/>
      <c r="V13" s="163"/>
      <c r="W13" s="163"/>
      <c r="X13" s="163"/>
      <c r="Y13" s="161"/>
      <c r="Z13" s="163"/>
      <c r="AA13" s="163"/>
    </row>
    <row r="14" spans="1:27">
      <c r="A14" s="14"/>
      <c r="B14" s="31"/>
      <c r="C14" s="172" t="s">
        <v>312</v>
      </c>
      <c r="D14" s="164"/>
      <c r="E14" s="29"/>
      <c r="F14" s="33" t="s">
        <v>10</v>
      </c>
      <c r="G14" s="34">
        <f>K14+O14+S14+W14+AA14</f>
        <v>11667.174000000001</v>
      </c>
      <c r="H14" s="67"/>
      <c r="I14" s="161"/>
      <c r="J14" s="33" t="s">
        <v>10</v>
      </c>
      <c r="K14" s="34">
        <f>SUM(K6:K13)</f>
        <v>2137.2488000000003</v>
      </c>
      <c r="L14" s="163"/>
      <c r="M14" s="161"/>
      <c r="N14" s="33" t="s">
        <v>10</v>
      </c>
      <c r="O14" s="34">
        <f>SUM(O6:O13)</f>
        <v>2137.2488000000003</v>
      </c>
      <c r="P14" s="163"/>
      <c r="Q14" s="161"/>
      <c r="R14" s="33" t="s">
        <v>10</v>
      </c>
      <c r="S14" s="34">
        <f>SUM(S6:S13)</f>
        <v>2137.2488000000003</v>
      </c>
      <c r="T14" s="163"/>
      <c r="U14" s="161"/>
      <c r="V14" s="33" t="s">
        <v>10</v>
      </c>
      <c r="W14" s="34">
        <f>SUM(W6:W13)</f>
        <v>2137.2488000000003</v>
      </c>
      <c r="X14" s="163"/>
      <c r="Y14" s="161"/>
      <c r="Z14" s="33" t="s">
        <v>10</v>
      </c>
      <c r="AA14" s="34">
        <f>SUM(AA6:AA13)</f>
        <v>3118.1788000000001</v>
      </c>
    </row>
    <row r="15" spans="1:27">
      <c r="A15" s="14"/>
      <c r="B15" s="31"/>
      <c r="C15" s="168"/>
      <c r="D15" s="164"/>
      <c r="E15" s="29"/>
      <c r="F15" s="33"/>
      <c r="G15" s="34"/>
      <c r="H15" s="67"/>
      <c r="I15" s="161"/>
      <c r="J15" s="163"/>
      <c r="K15" s="163"/>
      <c r="L15" s="163"/>
      <c r="M15" s="161"/>
      <c r="N15" s="163"/>
      <c r="O15" s="163"/>
      <c r="P15" s="163"/>
      <c r="Q15" s="161"/>
      <c r="R15" s="163"/>
      <c r="S15" s="163"/>
      <c r="T15" s="163"/>
      <c r="U15" s="161"/>
      <c r="V15" s="163"/>
      <c r="W15" s="163"/>
      <c r="X15" s="163"/>
      <c r="Y15" s="161"/>
      <c r="Z15" s="163"/>
      <c r="AA15" s="163"/>
    </row>
    <row r="16" spans="1:27">
      <c r="A16" s="14"/>
      <c r="B16" s="62" t="s">
        <v>20</v>
      </c>
      <c r="C16" s="173" t="s">
        <v>330</v>
      </c>
      <c r="D16" s="174"/>
      <c r="E16" s="65"/>
      <c r="F16" s="66"/>
      <c r="G16" s="66"/>
      <c r="H16" s="64"/>
      <c r="I16" s="178"/>
      <c r="J16" s="180"/>
      <c r="K16" s="180"/>
      <c r="L16" s="180"/>
      <c r="M16" s="178"/>
      <c r="N16" s="180"/>
      <c r="O16" s="180"/>
      <c r="P16" s="180"/>
      <c r="Q16" s="178"/>
      <c r="R16" s="180"/>
      <c r="S16" s="180"/>
      <c r="T16" s="180"/>
      <c r="U16" s="178"/>
      <c r="V16" s="180"/>
      <c r="W16" s="180"/>
      <c r="X16" s="180"/>
      <c r="Y16" s="178"/>
      <c r="Z16" s="180"/>
      <c r="AA16" s="180"/>
    </row>
    <row r="17" spans="1:27">
      <c r="A17" s="35"/>
      <c r="B17" s="27"/>
      <c r="C17" s="191" t="s">
        <v>326</v>
      </c>
      <c r="D17" s="164"/>
      <c r="E17" s="37"/>
      <c r="F17" s="33"/>
      <c r="G17" s="34"/>
      <c r="H17" s="68"/>
      <c r="I17" s="161"/>
      <c r="J17" s="163"/>
      <c r="K17" s="163"/>
      <c r="L17" s="163"/>
      <c r="M17" s="161"/>
      <c r="N17" s="163"/>
      <c r="O17" s="163"/>
      <c r="P17" s="163"/>
      <c r="Q17" s="161"/>
      <c r="R17" s="163"/>
      <c r="S17" s="163"/>
      <c r="T17" s="163"/>
      <c r="U17" s="161"/>
      <c r="V17" s="163"/>
      <c r="W17" s="163"/>
      <c r="X17" s="163"/>
      <c r="Y17" s="161"/>
      <c r="Z17" s="163"/>
      <c r="AA17" s="163"/>
    </row>
    <row r="18" spans="1:27">
      <c r="A18" s="35"/>
      <c r="B18" s="27"/>
      <c r="C18" s="172" t="s">
        <v>331</v>
      </c>
      <c r="D18" s="164"/>
      <c r="E18" s="37"/>
      <c r="F18" s="33"/>
      <c r="G18" s="34"/>
      <c r="H18" s="68"/>
      <c r="I18" s="161"/>
      <c r="J18" s="163"/>
      <c r="K18" s="163"/>
      <c r="L18" s="163"/>
      <c r="M18" s="161"/>
      <c r="N18" s="163"/>
      <c r="O18" s="163"/>
      <c r="P18" s="163"/>
      <c r="Q18" s="161"/>
      <c r="R18" s="163"/>
      <c r="S18" s="163"/>
      <c r="T18" s="163"/>
      <c r="U18" s="161"/>
      <c r="V18" s="163"/>
      <c r="W18" s="163"/>
      <c r="X18" s="163"/>
      <c r="Y18" s="161"/>
      <c r="Z18" s="163"/>
      <c r="AA18" s="163"/>
    </row>
    <row r="19" spans="1:27">
      <c r="A19" s="35"/>
      <c r="B19" s="27"/>
      <c r="C19" s="190" t="s">
        <v>327</v>
      </c>
      <c r="D19" s="164" t="s">
        <v>6</v>
      </c>
      <c r="E19" s="29">
        <f t="shared" ref="E19" si="7">I19+M19+Q19+U19+Y19</f>
        <v>1</v>
      </c>
      <c r="F19" s="32">
        <v>2406.6979999999999</v>
      </c>
      <c r="G19" s="32">
        <f t="shared" ref="G19:G42" si="8">K19+O19+S19+W19+AA19</f>
        <v>2406.6979999999999</v>
      </c>
      <c r="H19" s="68"/>
      <c r="I19" s="161">
        <v>1</v>
      </c>
      <c r="J19" s="163">
        <v>2406.6979999999999</v>
      </c>
      <c r="K19" s="163">
        <f t="shared" ref="K19:K42" si="9">I19*J19</f>
        <v>2406.6979999999999</v>
      </c>
      <c r="L19" s="163"/>
      <c r="M19" s="161"/>
      <c r="N19" s="163"/>
      <c r="O19" s="163">
        <f t="shared" ref="O19:O42" si="10">M19*N19</f>
        <v>0</v>
      </c>
      <c r="P19" s="163"/>
      <c r="Q19" s="161"/>
      <c r="R19" s="163"/>
      <c r="S19" s="163">
        <f t="shared" ref="S19:S42" si="11">Q19*R19</f>
        <v>0</v>
      </c>
      <c r="T19" s="163"/>
      <c r="U19" s="161"/>
      <c r="V19" s="163"/>
      <c r="W19" s="163">
        <f t="shared" ref="W19:W42" si="12">U19*V19</f>
        <v>0</v>
      </c>
      <c r="X19" s="163"/>
      <c r="Y19" s="161"/>
      <c r="Z19" s="163"/>
      <c r="AA19" s="163">
        <f t="shared" ref="AA19:AA42" si="13">Y19*Z19</f>
        <v>0</v>
      </c>
    </row>
    <row r="20" spans="1:27">
      <c r="A20" s="35"/>
      <c r="B20" s="27"/>
      <c r="C20" s="190" t="s">
        <v>879</v>
      </c>
      <c r="D20" s="164" t="s">
        <v>6</v>
      </c>
      <c r="E20" s="29">
        <v>3</v>
      </c>
      <c r="F20" s="32">
        <v>2313.7080000000001</v>
      </c>
      <c r="G20" s="32">
        <f t="shared" si="8"/>
        <v>6941.1239999999998</v>
      </c>
      <c r="H20" s="68"/>
      <c r="I20" s="374">
        <v>3</v>
      </c>
      <c r="J20" s="163">
        <v>2313.7080000000001</v>
      </c>
      <c r="K20" s="163">
        <f t="shared" si="9"/>
        <v>6941.1239999999998</v>
      </c>
      <c r="L20" s="163"/>
      <c r="M20" s="161"/>
      <c r="N20" s="163"/>
      <c r="O20" s="163">
        <f t="shared" si="10"/>
        <v>0</v>
      </c>
      <c r="P20" s="163"/>
      <c r="Q20" s="161"/>
      <c r="R20" s="163"/>
      <c r="S20" s="163">
        <f t="shared" si="11"/>
        <v>0</v>
      </c>
      <c r="T20" s="163"/>
      <c r="U20" s="161"/>
      <c r="V20" s="163"/>
      <c r="W20" s="163">
        <f t="shared" si="12"/>
        <v>0</v>
      </c>
      <c r="X20" s="163"/>
      <c r="Y20" s="161"/>
      <c r="Z20" s="163"/>
      <c r="AA20" s="163">
        <f t="shared" si="13"/>
        <v>0</v>
      </c>
    </row>
    <row r="21" spans="1:27">
      <c r="A21" s="35"/>
      <c r="B21" s="27"/>
      <c r="C21" s="190" t="s">
        <v>332</v>
      </c>
      <c r="D21" s="164" t="s">
        <v>6</v>
      </c>
      <c r="E21" s="29">
        <f t="shared" ref="E21:E40" si="14">I21+M21+Q21+U21+Y21</f>
        <v>5</v>
      </c>
      <c r="F21" s="32">
        <v>1159.6590000000001</v>
      </c>
      <c r="G21" s="32">
        <f t="shared" si="8"/>
        <v>5798.2950000000001</v>
      </c>
      <c r="H21" s="68"/>
      <c r="I21" s="161">
        <v>1</v>
      </c>
      <c r="J21" s="163">
        <v>1159.6590000000001</v>
      </c>
      <c r="K21" s="163">
        <f t="shared" si="9"/>
        <v>1159.6590000000001</v>
      </c>
      <c r="L21" s="163"/>
      <c r="M21" s="161">
        <v>1</v>
      </c>
      <c r="N21" s="163">
        <v>1159.6590000000001</v>
      </c>
      <c r="O21" s="163">
        <f t="shared" si="10"/>
        <v>1159.6590000000001</v>
      </c>
      <c r="P21" s="163"/>
      <c r="Q21" s="161">
        <v>1</v>
      </c>
      <c r="R21" s="163">
        <v>1159.6590000000001</v>
      </c>
      <c r="S21" s="163">
        <f t="shared" si="11"/>
        <v>1159.6590000000001</v>
      </c>
      <c r="T21" s="163"/>
      <c r="U21" s="161">
        <v>1</v>
      </c>
      <c r="V21" s="163">
        <v>1159.6590000000001</v>
      </c>
      <c r="W21" s="163">
        <f t="shared" si="12"/>
        <v>1159.6590000000001</v>
      </c>
      <c r="X21" s="163"/>
      <c r="Y21" s="161">
        <v>1</v>
      </c>
      <c r="Z21" s="163">
        <v>1159.6590000000001</v>
      </c>
      <c r="AA21" s="163">
        <f t="shared" si="13"/>
        <v>1159.6590000000001</v>
      </c>
    </row>
    <row r="22" spans="1:27">
      <c r="A22" s="35"/>
      <c r="B22" s="27"/>
      <c r="C22" s="168" t="s">
        <v>333</v>
      </c>
      <c r="D22" s="166" t="s">
        <v>69</v>
      </c>
      <c r="E22" s="29">
        <f t="shared" si="14"/>
        <v>149</v>
      </c>
      <c r="F22" s="32">
        <v>147.80500000000001</v>
      </c>
      <c r="G22" s="32">
        <f t="shared" si="8"/>
        <v>22022.945</v>
      </c>
      <c r="H22" s="68"/>
      <c r="I22" s="161">
        <v>30</v>
      </c>
      <c r="J22" s="32">
        <v>147.80500000000001</v>
      </c>
      <c r="K22" s="163">
        <f t="shared" si="9"/>
        <v>4434.1500000000005</v>
      </c>
      <c r="L22" s="163"/>
      <c r="M22" s="161"/>
      <c r="N22" s="163"/>
      <c r="O22" s="163">
        <f t="shared" si="10"/>
        <v>0</v>
      </c>
      <c r="P22" s="163"/>
      <c r="Q22" s="161">
        <v>59</v>
      </c>
      <c r="R22" s="32">
        <v>147.80500000000001</v>
      </c>
      <c r="S22" s="163">
        <f t="shared" si="11"/>
        <v>8720.4950000000008</v>
      </c>
      <c r="T22" s="163"/>
      <c r="U22" s="161">
        <v>52</v>
      </c>
      <c r="V22" s="32">
        <v>147.80500000000001</v>
      </c>
      <c r="W22" s="163">
        <f t="shared" si="12"/>
        <v>7685.8600000000006</v>
      </c>
      <c r="X22" s="163"/>
      <c r="Y22" s="161">
        <v>8</v>
      </c>
      <c r="Z22" s="32">
        <v>147.80500000000001</v>
      </c>
      <c r="AA22" s="163">
        <f t="shared" si="13"/>
        <v>1182.44</v>
      </c>
    </row>
    <row r="23" spans="1:27">
      <c r="A23" s="35"/>
      <c r="B23" s="27"/>
      <c r="C23" s="168" t="s">
        <v>904</v>
      </c>
      <c r="D23" s="166" t="s">
        <v>69</v>
      </c>
      <c r="E23" s="29">
        <f t="shared" si="14"/>
        <v>12</v>
      </c>
      <c r="F23" s="32">
        <v>164.93299999999999</v>
      </c>
      <c r="G23" s="32">
        <f t="shared" si="8"/>
        <v>1979.1959999999999</v>
      </c>
      <c r="H23" s="68"/>
      <c r="I23" s="161">
        <v>3</v>
      </c>
      <c r="J23" s="163">
        <v>164.93299999999999</v>
      </c>
      <c r="K23" s="163">
        <f t="shared" si="9"/>
        <v>494.79899999999998</v>
      </c>
      <c r="L23" s="163"/>
      <c r="M23" s="161"/>
      <c r="N23" s="163"/>
      <c r="O23" s="163">
        <f t="shared" si="10"/>
        <v>0</v>
      </c>
      <c r="P23" s="163"/>
      <c r="Q23" s="161">
        <v>7</v>
      </c>
      <c r="R23" s="163">
        <v>164.93299999999999</v>
      </c>
      <c r="S23" s="163">
        <f t="shared" si="11"/>
        <v>1154.5309999999999</v>
      </c>
      <c r="T23" s="163"/>
      <c r="U23" s="161">
        <v>2</v>
      </c>
      <c r="V23" s="163">
        <v>164.93299999999999</v>
      </c>
      <c r="W23" s="163">
        <f t="shared" si="12"/>
        <v>329.86599999999999</v>
      </c>
      <c r="X23" s="163"/>
      <c r="Y23" s="161"/>
      <c r="Z23" s="163"/>
      <c r="AA23" s="163">
        <f t="shared" si="13"/>
        <v>0</v>
      </c>
    </row>
    <row r="24" spans="1:27">
      <c r="A24" s="35"/>
      <c r="B24" s="27"/>
      <c r="C24" s="168" t="s">
        <v>905</v>
      </c>
      <c r="D24" s="166" t="s">
        <v>69</v>
      </c>
      <c r="E24" s="29">
        <f t="shared" si="14"/>
        <v>11</v>
      </c>
      <c r="F24" s="32">
        <v>262.19200000000001</v>
      </c>
      <c r="G24" s="32">
        <f t="shared" si="8"/>
        <v>2884.1120000000001</v>
      </c>
      <c r="H24" s="68"/>
      <c r="I24" s="161">
        <v>2</v>
      </c>
      <c r="J24" s="163">
        <v>262.19200000000001</v>
      </c>
      <c r="K24" s="163">
        <f t="shared" si="9"/>
        <v>524.38400000000001</v>
      </c>
      <c r="L24" s="163"/>
      <c r="M24" s="161"/>
      <c r="N24" s="163"/>
      <c r="O24" s="163">
        <f t="shared" si="10"/>
        <v>0</v>
      </c>
      <c r="P24" s="163"/>
      <c r="Q24" s="161">
        <v>7</v>
      </c>
      <c r="R24" s="163">
        <v>262.19200000000001</v>
      </c>
      <c r="S24" s="163">
        <f t="shared" si="11"/>
        <v>1835.3440000000001</v>
      </c>
      <c r="T24" s="163"/>
      <c r="U24" s="161">
        <v>2</v>
      </c>
      <c r="V24" s="163">
        <v>262.19200000000001</v>
      </c>
      <c r="W24" s="163">
        <f t="shared" si="12"/>
        <v>524.38400000000001</v>
      </c>
      <c r="X24" s="163"/>
      <c r="Y24" s="161"/>
      <c r="Z24" s="163"/>
      <c r="AA24" s="163">
        <f t="shared" si="13"/>
        <v>0</v>
      </c>
    </row>
    <row r="25" spans="1:27">
      <c r="A25" s="35"/>
      <c r="B25" s="27"/>
      <c r="C25" s="168" t="s">
        <v>334</v>
      </c>
      <c r="D25" s="166" t="s">
        <v>69</v>
      </c>
      <c r="E25" s="29">
        <f t="shared" si="14"/>
        <v>59</v>
      </c>
      <c r="F25" s="32">
        <v>53.32</v>
      </c>
      <c r="G25" s="32">
        <f t="shared" si="8"/>
        <v>3145.88</v>
      </c>
      <c r="H25" s="68"/>
      <c r="I25" s="161">
        <v>8</v>
      </c>
      <c r="J25" s="163">
        <v>53.32</v>
      </c>
      <c r="K25" s="163">
        <f t="shared" si="9"/>
        <v>426.56</v>
      </c>
      <c r="L25" s="163"/>
      <c r="M25" s="161"/>
      <c r="N25" s="163"/>
      <c r="O25" s="163">
        <f t="shared" si="10"/>
        <v>0</v>
      </c>
      <c r="P25" s="163"/>
      <c r="Q25" s="161">
        <v>13</v>
      </c>
      <c r="R25" s="163">
        <v>53.32</v>
      </c>
      <c r="S25" s="163">
        <f t="shared" si="11"/>
        <v>693.16</v>
      </c>
      <c r="T25" s="163"/>
      <c r="U25" s="161">
        <v>31</v>
      </c>
      <c r="V25" s="163">
        <v>53.32</v>
      </c>
      <c r="W25" s="163">
        <f t="shared" si="12"/>
        <v>1652.92</v>
      </c>
      <c r="X25" s="163"/>
      <c r="Y25" s="161">
        <v>7</v>
      </c>
      <c r="Z25" s="163">
        <v>53.32</v>
      </c>
      <c r="AA25" s="163">
        <f t="shared" si="13"/>
        <v>373.24</v>
      </c>
    </row>
    <row r="26" spans="1:27">
      <c r="A26" s="35"/>
      <c r="B26" s="27"/>
      <c r="C26" s="168" t="s">
        <v>335</v>
      </c>
      <c r="D26" s="166" t="s">
        <v>69</v>
      </c>
      <c r="E26" s="29">
        <f t="shared" si="14"/>
        <v>6</v>
      </c>
      <c r="F26" s="32">
        <v>146.00800000000001</v>
      </c>
      <c r="G26" s="32">
        <f t="shared" si="8"/>
        <v>876.048</v>
      </c>
      <c r="H26" s="68"/>
      <c r="I26" s="161"/>
      <c r="J26" s="163"/>
      <c r="K26" s="163"/>
      <c r="L26" s="163"/>
      <c r="M26" s="161">
        <v>1</v>
      </c>
      <c r="N26" s="163">
        <v>146.00800000000001</v>
      </c>
      <c r="O26" s="163">
        <f t="shared" si="10"/>
        <v>146.00800000000001</v>
      </c>
      <c r="P26" s="163"/>
      <c r="Q26" s="161">
        <v>2</v>
      </c>
      <c r="R26" s="163">
        <v>146.00800000000001</v>
      </c>
      <c r="S26" s="163">
        <f t="shared" si="11"/>
        <v>292.01600000000002</v>
      </c>
      <c r="T26" s="163"/>
      <c r="U26" s="161">
        <v>2</v>
      </c>
      <c r="V26" s="163">
        <v>146.00800000000001</v>
      </c>
      <c r="W26" s="163">
        <f t="shared" si="12"/>
        <v>292.01600000000002</v>
      </c>
      <c r="X26" s="163"/>
      <c r="Y26" s="161">
        <v>1</v>
      </c>
      <c r="Z26" s="163">
        <v>146.00800000000001</v>
      </c>
      <c r="AA26" s="163">
        <f t="shared" si="13"/>
        <v>146.00800000000001</v>
      </c>
    </row>
    <row r="27" spans="1:27" ht="26.4" customHeight="1">
      <c r="A27" s="35"/>
      <c r="B27" s="27"/>
      <c r="C27" s="168" t="s">
        <v>336</v>
      </c>
      <c r="D27" s="166" t="s">
        <v>69</v>
      </c>
      <c r="E27" s="29">
        <f t="shared" si="14"/>
        <v>21</v>
      </c>
      <c r="F27" s="32">
        <v>163.15100000000001</v>
      </c>
      <c r="G27" s="32">
        <f t="shared" si="8"/>
        <v>3426.1710000000003</v>
      </c>
      <c r="H27" s="68"/>
      <c r="I27" s="161">
        <v>5</v>
      </c>
      <c r="J27" s="163">
        <v>163.15100000000001</v>
      </c>
      <c r="K27" s="163">
        <f t="shared" si="9"/>
        <v>815.75500000000011</v>
      </c>
      <c r="L27" s="163"/>
      <c r="M27" s="161"/>
      <c r="N27" s="163"/>
      <c r="O27" s="163">
        <f t="shared" si="10"/>
        <v>0</v>
      </c>
      <c r="P27" s="163"/>
      <c r="Q27" s="161">
        <v>10</v>
      </c>
      <c r="R27" s="163">
        <v>163.15100000000001</v>
      </c>
      <c r="S27" s="163">
        <f t="shared" si="11"/>
        <v>1631.5100000000002</v>
      </c>
      <c r="T27" s="163"/>
      <c r="U27" s="161">
        <v>5</v>
      </c>
      <c r="V27" s="163">
        <v>163.15100000000001</v>
      </c>
      <c r="W27" s="163">
        <f t="shared" si="12"/>
        <v>815.75500000000011</v>
      </c>
      <c r="X27" s="163"/>
      <c r="Y27" s="161">
        <v>1</v>
      </c>
      <c r="Z27" s="163">
        <v>163.15100000000001</v>
      </c>
      <c r="AA27" s="163">
        <f t="shared" si="13"/>
        <v>163.15100000000001</v>
      </c>
    </row>
    <row r="28" spans="1:27">
      <c r="A28" s="35"/>
      <c r="B28" s="27"/>
      <c r="C28" s="168" t="s">
        <v>337</v>
      </c>
      <c r="D28" s="166" t="s">
        <v>69</v>
      </c>
      <c r="E28" s="29">
        <f t="shared" si="14"/>
        <v>20</v>
      </c>
      <c r="F28" s="32">
        <v>139.226</v>
      </c>
      <c r="G28" s="32">
        <f t="shared" si="8"/>
        <v>2784.52</v>
      </c>
      <c r="H28" s="68"/>
      <c r="I28" s="161">
        <v>5</v>
      </c>
      <c r="J28" s="163">
        <v>139.226</v>
      </c>
      <c r="K28" s="163">
        <f t="shared" si="9"/>
        <v>696.13</v>
      </c>
      <c r="L28" s="163"/>
      <c r="M28" s="161"/>
      <c r="N28" s="163"/>
      <c r="O28" s="163">
        <f t="shared" si="10"/>
        <v>0</v>
      </c>
      <c r="P28" s="163"/>
      <c r="Q28" s="161">
        <v>10</v>
      </c>
      <c r="R28" s="163">
        <v>139.226</v>
      </c>
      <c r="S28" s="163">
        <f t="shared" si="11"/>
        <v>1392.26</v>
      </c>
      <c r="T28" s="163"/>
      <c r="U28" s="161">
        <v>4</v>
      </c>
      <c r="V28" s="163">
        <v>139.226</v>
      </c>
      <c r="W28" s="163">
        <f t="shared" si="12"/>
        <v>556.904</v>
      </c>
      <c r="X28" s="163"/>
      <c r="Y28" s="161">
        <v>1</v>
      </c>
      <c r="Z28" s="163">
        <v>139.226</v>
      </c>
      <c r="AA28" s="163">
        <f t="shared" si="13"/>
        <v>139.226</v>
      </c>
    </row>
    <row r="29" spans="1:27">
      <c r="A29" s="35"/>
      <c r="B29" s="27"/>
      <c r="C29" s="168" t="s">
        <v>338</v>
      </c>
      <c r="D29" s="166" t="s">
        <v>69</v>
      </c>
      <c r="E29" s="29">
        <f t="shared" si="14"/>
        <v>2</v>
      </c>
      <c r="F29" s="32">
        <v>1023.8920000000002</v>
      </c>
      <c r="G29" s="32">
        <f t="shared" si="8"/>
        <v>2047.7840000000003</v>
      </c>
      <c r="H29" s="68"/>
      <c r="I29" s="161"/>
      <c r="J29" s="163"/>
      <c r="K29" s="163">
        <f t="shared" si="9"/>
        <v>0</v>
      </c>
      <c r="L29" s="163"/>
      <c r="M29" s="161"/>
      <c r="N29" s="163"/>
      <c r="O29" s="163">
        <f t="shared" si="10"/>
        <v>0</v>
      </c>
      <c r="P29" s="163"/>
      <c r="Q29" s="161">
        <v>1</v>
      </c>
      <c r="R29" s="163">
        <v>1023.8920000000002</v>
      </c>
      <c r="S29" s="163">
        <f t="shared" si="11"/>
        <v>1023.8920000000002</v>
      </c>
      <c r="T29" s="163"/>
      <c r="U29" s="161">
        <v>1</v>
      </c>
      <c r="V29" s="163">
        <v>1023.8920000000002</v>
      </c>
      <c r="W29" s="163">
        <f t="shared" si="12"/>
        <v>1023.8920000000002</v>
      </c>
      <c r="X29" s="163"/>
      <c r="Y29" s="161"/>
      <c r="Z29" s="163"/>
      <c r="AA29" s="163">
        <f t="shared" si="13"/>
        <v>0</v>
      </c>
    </row>
    <row r="30" spans="1:27">
      <c r="A30" s="35"/>
      <c r="B30" s="27"/>
      <c r="C30" s="168" t="s">
        <v>880</v>
      </c>
      <c r="D30" s="166" t="s">
        <v>6</v>
      </c>
      <c r="E30" s="29">
        <v>1</v>
      </c>
      <c r="F30" s="32">
        <v>3139.8110000000006</v>
      </c>
      <c r="G30" s="32">
        <f t="shared" si="8"/>
        <v>3139.8110000000006</v>
      </c>
      <c r="H30" s="68"/>
      <c r="I30" s="161"/>
      <c r="J30" s="163"/>
      <c r="K30" s="163">
        <f t="shared" si="9"/>
        <v>0</v>
      </c>
      <c r="L30" s="163"/>
      <c r="M30" s="161"/>
      <c r="N30" s="163"/>
      <c r="O30" s="163">
        <f t="shared" si="10"/>
        <v>0</v>
      </c>
      <c r="P30" s="163"/>
      <c r="Q30" s="161">
        <v>1</v>
      </c>
      <c r="R30" s="163">
        <v>3139.8110000000006</v>
      </c>
      <c r="S30" s="163">
        <f t="shared" si="11"/>
        <v>3139.8110000000006</v>
      </c>
      <c r="T30" s="163"/>
      <c r="U30" s="161"/>
      <c r="V30" s="163">
        <v>3139.8110000000006</v>
      </c>
      <c r="W30" s="163">
        <f t="shared" si="12"/>
        <v>0</v>
      </c>
      <c r="X30" s="163"/>
      <c r="Y30" s="161"/>
      <c r="Z30" s="163"/>
      <c r="AA30" s="163">
        <f t="shared" si="13"/>
        <v>0</v>
      </c>
    </row>
    <row r="31" spans="1:27" ht="27.6">
      <c r="A31" s="35"/>
      <c r="B31" s="27"/>
      <c r="C31" s="168" t="s">
        <v>339</v>
      </c>
      <c r="D31" s="166" t="s">
        <v>69</v>
      </c>
      <c r="E31" s="29">
        <f t="shared" si="14"/>
        <v>17</v>
      </c>
      <c r="F31" s="32">
        <v>238.59800000000004</v>
      </c>
      <c r="G31" s="32">
        <f t="shared" si="8"/>
        <v>4056.1660000000006</v>
      </c>
      <c r="H31" s="68"/>
      <c r="I31" s="161">
        <v>6</v>
      </c>
      <c r="J31" s="163">
        <v>238.59800000000004</v>
      </c>
      <c r="K31" s="163">
        <f t="shared" si="9"/>
        <v>1431.5880000000002</v>
      </c>
      <c r="L31" s="163"/>
      <c r="M31" s="161">
        <v>2</v>
      </c>
      <c r="N31" s="163">
        <v>238.59800000000004</v>
      </c>
      <c r="O31" s="163">
        <f t="shared" si="10"/>
        <v>477.19600000000008</v>
      </c>
      <c r="P31" s="163"/>
      <c r="Q31" s="161">
        <v>2</v>
      </c>
      <c r="R31" s="163">
        <v>238.59800000000004</v>
      </c>
      <c r="S31" s="163">
        <f t="shared" si="11"/>
        <v>477.19600000000008</v>
      </c>
      <c r="T31" s="163"/>
      <c r="U31" s="161">
        <v>5</v>
      </c>
      <c r="V31" s="163">
        <v>238.59800000000004</v>
      </c>
      <c r="W31" s="163">
        <f t="shared" si="12"/>
        <v>1192.9900000000002</v>
      </c>
      <c r="X31" s="163"/>
      <c r="Y31" s="161">
        <v>2</v>
      </c>
      <c r="Z31" s="163">
        <v>238.59800000000004</v>
      </c>
      <c r="AA31" s="163">
        <f t="shared" si="13"/>
        <v>477.19600000000008</v>
      </c>
    </row>
    <row r="32" spans="1:27">
      <c r="A32" s="35"/>
      <c r="B32" s="27"/>
      <c r="C32" s="375" t="s">
        <v>906</v>
      </c>
      <c r="D32" s="376" t="s">
        <v>69</v>
      </c>
      <c r="E32" s="372">
        <v>2</v>
      </c>
      <c r="F32" s="367">
        <v>449.76499999999999</v>
      </c>
      <c r="G32" s="367">
        <f t="shared" si="8"/>
        <v>899.53</v>
      </c>
      <c r="H32" s="68"/>
      <c r="I32" s="161"/>
      <c r="J32" s="163"/>
      <c r="K32" s="163"/>
      <c r="L32" s="163"/>
      <c r="M32" s="161"/>
      <c r="N32" s="163"/>
      <c r="O32" s="163"/>
      <c r="P32" s="163"/>
      <c r="Q32" s="374">
        <v>1</v>
      </c>
      <c r="R32" s="367">
        <v>449.76499999999999</v>
      </c>
      <c r="S32" s="373">
        <f t="shared" si="11"/>
        <v>449.76499999999999</v>
      </c>
      <c r="T32" s="163"/>
      <c r="U32" s="374">
        <v>1</v>
      </c>
      <c r="V32" s="367">
        <v>449.76499999999999</v>
      </c>
      <c r="W32" s="373">
        <f t="shared" si="12"/>
        <v>449.76499999999999</v>
      </c>
      <c r="X32" s="163"/>
      <c r="Y32" s="161"/>
      <c r="Z32" s="163"/>
      <c r="AA32" s="163"/>
    </row>
    <row r="33" spans="1:27">
      <c r="A33" s="35"/>
      <c r="B33" s="27"/>
      <c r="C33" s="375" t="s">
        <v>907</v>
      </c>
      <c r="D33" s="376" t="s">
        <v>69</v>
      </c>
      <c r="E33" s="372">
        <v>7</v>
      </c>
      <c r="F33" s="367">
        <v>266.76</v>
      </c>
      <c r="G33" s="367">
        <f t="shared" si="8"/>
        <v>1867.32</v>
      </c>
      <c r="H33" s="68"/>
      <c r="I33" s="161"/>
      <c r="J33" s="163"/>
      <c r="K33" s="163"/>
      <c r="L33" s="163"/>
      <c r="M33" s="161"/>
      <c r="N33" s="163"/>
      <c r="O33" s="163"/>
      <c r="P33" s="163"/>
      <c r="Q33" s="161"/>
      <c r="R33" s="163"/>
      <c r="S33" s="163"/>
      <c r="T33" s="163"/>
      <c r="U33" s="374">
        <v>7</v>
      </c>
      <c r="V33" s="367">
        <v>266.76</v>
      </c>
      <c r="W33" s="373">
        <f t="shared" si="12"/>
        <v>1867.32</v>
      </c>
      <c r="X33" s="163"/>
      <c r="Y33" s="161"/>
      <c r="Z33" s="163"/>
      <c r="AA33" s="163"/>
    </row>
    <row r="34" spans="1:27">
      <c r="A34" s="35"/>
      <c r="B34" s="27"/>
      <c r="C34" s="375" t="s">
        <v>908</v>
      </c>
      <c r="D34" s="372" t="s">
        <v>69</v>
      </c>
      <c r="E34" s="372">
        <v>6</v>
      </c>
      <c r="F34" s="367">
        <f>1257.19/6</f>
        <v>209.53166666666667</v>
      </c>
      <c r="G34" s="367">
        <f t="shared" si="8"/>
        <v>1257.19</v>
      </c>
      <c r="H34" s="68"/>
      <c r="I34" s="161"/>
      <c r="J34" s="163"/>
      <c r="K34" s="163"/>
      <c r="L34" s="163"/>
      <c r="M34" s="161"/>
      <c r="N34" s="163"/>
      <c r="O34" s="163"/>
      <c r="P34" s="163"/>
      <c r="Q34" s="161"/>
      <c r="R34" s="163"/>
      <c r="S34" s="163"/>
      <c r="T34" s="163"/>
      <c r="U34" s="374">
        <v>6</v>
      </c>
      <c r="V34" s="367">
        <v>209.53166666666667</v>
      </c>
      <c r="W34" s="373">
        <f t="shared" si="12"/>
        <v>1257.19</v>
      </c>
      <c r="X34" s="163"/>
      <c r="Y34" s="161"/>
      <c r="Z34" s="163"/>
      <c r="AA34" s="163"/>
    </row>
    <row r="35" spans="1:27" ht="27.6">
      <c r="A35" s="35"/>
      <c r="B35" s="27"/>
      <c r="C35" s="375" t="s">
        <v>909</v>
      </c>
      <c r="D35" s="372" t="s">
        <v>69</v>
      </c>
      <c r="E35" s="372">
        <v>6</v>
      </c>
      <c r="F35" s="367">
        <v>113.57166666666666</v>
      </c>
      <c r="G35" s="367">
        <f t="shared" si="8"/>
        <v>681.43</v>
      </c>
      <c r="H35" s="68"/>
      <c r="I35" s="161"/>
      <c r="J35" s="163"/>
      <c r="K35" s="163"/>
      <c r="L35" s="163"/>
      <c r="M35" s="161"/>
      <c r="N35" s="163"/>
      <c r="O35" s="163"/>
      <c r="P35" s="163"/>
      <c r="Q35" s="161"/>
      <c r="R35" s="163"/>
      <c r="S35" s="163"/>
      <c r="T35" s="163"/>
      <c r="U35" s="374">
        <v>6</v>
      </c>
      <c r="V35" s="367">
        <v>113.57166666666666</v>
      </c>
      <c r="W35" s="373">
        <f t="shared" si="12"/>
        <v>681.43</v>
      </c>
      <c r="X35" s="163"/>
      <c r="Y35" s="161"/>
      <c r="Z35" s="163"/>
      <c r="AA35" s="163"/>
    </row>
    <row r="36" spans="1:27">
      <c r="A36" s="35"/>
      <c r="B36" s="27"/>
      <c r="C36" s="168" t="s">
        <v>340</v>
      </c>
      <c r="D36" s="166" t="s">
        <v>341</v>
      </c>
      <c r="E36" s="29">
        <f t="shared" si="14"/>
        <v>0</v>
      </c>
      <c r="F36" s="32"/>
      <c r="G36" s="32">
        <f t="shared" si="8"/>
        <v>0</v>
      </c>
      <c r="H36" s="68"/>
      <c r="I36" s="161"/>
      <c r="J36" s="163"/>
      <c r="K36" s="163"/>
      <c r="L36" s="163"/>
      <c r="M36" s="161"/>
      <c r="N36" s="163"/>
      <c r="O36" s="163"/>
      <c r="P36" s="163"/>
      <c r="Q36" s="161"/>
      <c r="R36" s="163"/>
      <c r="S36" s="163"/>
      <c r="T36" s="163"/>
      <c r="U36" s="161"/>
      <c r="V36" s="163"/>
      <c r="W36" s="163"/>
      <c r="X36" s="163"/>
      <c r="Y36" s="161"/>
      <c r="Z36" s="163"/>
      <c r="AA36" s="163"/>
    </row>
    <row r="37" spans="1:27" ht="27" customHeight="1">
      <c r="A37" s="35"/>
      <c r="B37" s="27"/>
      <c r="C37" s="168" t="s">
        <v>342</v>
      </c>
      <c r="D37" s="166" t="s">
        <v>6</v>
      </c>
      <c r="E37" s="29">
        <f t="shared" si="14"/>
        <v>5</v>
      </c>
      <c r="F37" s="32">
        <v>554.49699999999996</v>
      </c>
      <c r="G37" s="32">
        <f t="shared" si="8"/>
        <v>2772.4849999999997</v>
      </c>
      <c r="H37" s="68"/>
      <c r="I37" s="161">
        <v>1</v>
      </c>
      <c r="J37" s="163">
        <v>554.49699999999996</v>
      </c>
      <c r="K37" s="163">
        <f t="shared" si="9"/>
        <v>554.49699999999996</v>
      </c>
      <c r="L37" s="163"/>
      <c r="M37" s="161">
        <v>1</v>
      </c>
      <c r="N37" s="163">
        <v>554.49699999999996</v>
      </c>
      <c r="O37" s="163">
        <f t="shared" si="10"/>
        <v>554.49699999999996</v>
      </c>
      <c r="P37" s="163"/>
      <c r="Q37" s="161">
        <v>1</v>
      </c>
      <c r="R37" s="163">
        <v>554.49699999999996</v>
      </c>
      <c r="S37" s="163">
        <f t="shared" si="11"/>
        <v>554.49699999999996</v>
      </c>
      <c r="T37" s="163"/>
      <c r="U37" s="161">
        <v>1</v>
      </c>
      <c r="V37" s="163">
        <v>554.49699999999996</v>
      </c>
      <c r="W37" s="163">
        <f t="shared" si="12"/>
        <v>554.49699999999996</v>
      </c>
      <c r="X37" s="163"/>
      <c r="Y37" s="161">
        <v>1</v>
      </c>
      <c r="Z37" s="163">
        <v>554.49699999999996</v>
      </c>
      <c r="AA37" s="163">
        <f t="shared" si="13"/>
        <v>554.49699999999996</v>
      </c>
    </row>
    <row r="38" spans="1:27" ht="27.6">
      <c r="A38" s="35"/>
      <c r="B38" s="27"/>
      <c r="C38" s="168" t="s">
        <v>893</v>
      </c>
      <c r="D38" s="166" t="s">
        <v>249</v>
      </c>
      <c r="E38" s="29"/>
      <c r="F38" s="32"/>
      <c r="G38" s="32">
        <f>K38+O38+S38+W38+AA38</f>
        <v>0</v>
      </c>
      <c r="H38" s="68"/>
      <c r="I38" s="161">
        <v>0</v>
      </c>
      <c r="J38" s="163"/>
      <c r="K38" s="163">
        <f>I38*J38</f>
        <v>0</v>
      </c>
      <c r="L38" s="163"/>
      <c r="M38" s="161"/>
      <c r="N38" s="163"/>
      <c r="O38" s="163">
        <f>M38*N38</f>
        <v>0</v>
      </c>
      <c r="P38" s="163"/>
      <c r="Q38" s="161"/>
      <c r="R38" s="163"/>
      <c r="S38" s="163">
        <f>Q38*R38</f>
        <v>0</v>
      </c>
      <c r="T38" s="163"/>
      <c r="U38" s="161"/>
      <c r="V38" s="163"/>
      <c r="W38" s="163">
        <f>U38*V38</f>
        <v>0</v>
      </c>
      <c r="X38" s="163"/>
      <c r="Y38" s="161"/>
      <c r="Z38" s="163"/>
      <c r="AA38" s="163">
        <f>Y38*Z38</f>
        <v>0</v>
      </c>
    </row>
    <row r="39" spans="1:27" ht="41.4">
      <c r="A39" s="35"/>
      <c r="B39" s="27"/>
      <c r="C39" s="168" t="s">
        <v>343</v>
      </c>
      <c r="D39" s="166" t="s">
        <v>6</v>
      </c>
      <c r="E39" s="29">
        <f t="shared" si="14"/>
        <v>5</v>
      </c>
      <c r="F39" s="32">
        <v>719.15499999999997</v>
      </c>
      <c r="G39" s="32">
        <f t="shared" si="8"/>
        <v>3595.7749999999996</v>
      </c>
      <c r="H39" s="68"/>
      <c r="I39" s="161">
        <v>1</v>
      </c>
      <c r="J39" s="163">
        <v>719.15499999999997</v>
      </c>
      <c r="K39" s="163">
        <f t="shared" si="9"/>
        <v>719.15499999999997</v>
      </c>
      <c r="L39" s="163"/>
      <c r="M39" s="161">
        <v>1</v>
      </c>
      <c r="N39" s="163">
        <v>719.15499999999997</v>
      </c>
      <c r="O39" s="163">
        <f t="shared" si="10"/>
        <v>719.15499999999997</v>
      </c>
      <c r="P39" s="163"/>
      <c r="Q39" s="161">
        <v>1</v>
      </c>
      <c r="R39" s="163">
        <v>719.15499999999997</v>
      </c>
      <c r="S39" s="163">
        <f t="shared" si="11"/>
        <v>719.15499999999997</v>
      </c>
      <c r="T39" s="163"/>
      <c r="U39" s="161">
        <v>1</v>
      </c>
      <c r="V39" s="163">
        <v>719.15499999999997</v>
      </c>
      <c r="W39" s="163">
        <f t="shared" si="12"/>
        <v>719.15499999999997</v>
      </c>
      <c r="X39" s="163"/>
      <c r="Y39" s="161">
        <v>1</v>
      </c>
      <c r="Z39" s="163">
        <v>719.15499999999997</v>
      </c>
      <c r="AA39" s="163">
        <f t="shared" si="13"/>
        <v>719.15499999999997</v>
      </c>
    </row>
    <row r="40" spans="1:27" ht="27.6">
      <c r="A40" s="35"/>
      <c r="B40" s="27"/>
      <c r="C40" s="168" t="s">
        <v>344</v>
      </c>
      <c r="D40" s="166" t="s">
        <v>6</v>
      </c>
      <c r="E40" s="29">
        <f t="shared" si="14"/>
        <v>1</v>
      </c>
      <c r="F40" s="32">
        <v>6614.51</v>
      </c>
      <c r="G40" s="32">
        <f t="shared" si="8"/>
        <v>6614.51</v>
      </c>
      <c r="H40" s="68"/>
      <c r="I40" s="161">
        <v>0</v>
      </c>
      <c r="J40" s="163"/>
      <c r="K40" s="163">
        <f t="shared" si="9"/>
        <v>0</v>
      </c>
      <c r="L40" s="163"/>
      <c r="M40" s="161"/>
      <c r="N40" s="163"/>
      <c r="O40" s="163">
        <f t="shared" si="10"/>
        <v>0</v>
      </c>
      <c r="P40" s="163"/>
      <c r="Q40" s="161"/>
      <c r="R40" s="163"/>
      <c r="S40" s="163">
        <f t="shared" si="11"/>
        <v>0</v>
      </c>
      <c r="T40" s="163"/>
      <c r="U40" s="161"/>
      <c r="V40" s="163"/>
      <c r="W40" s="163">
        <f t="shared" si="12"/>
        <v>0</v>
      </c>
      <c r="X40" s="163"/>
      <c r="Y40" s="161">
        <v>1</v>
      </c>
      <c r="Z40" s="163">
        <v>6614.51</v>
      </c>
      <c r="AA40" s="163">
        <f t="shared" si="13"/>
        <v>6614.51</v>
      </c>
    </row>
    <row r="41" spans="1:27">
      <c r="A41" s="35"/>
      <c r="B41" s="27"/>
      <c r="C41" s="168" t="s">
        <v>345</v>
      </c>
      <c r="D41" s="166" t="s">
        <v>249</v>
      </c>
      <c r="E41" s="29"/>
      <c r="F41" s="32"/>
      <c r="G41" s="32">
        <f t="shared" si="8"/>
        <v>0</v>
      </c>
      <c r="H41" s="68"/>
      <c r="I41" s="161">
        <v>0</v>
      </c>
      <c r="J41" s="163">
        <v>0</v>
      </c>
      <c r="K41" s="163">
        <f t="shared" si="9"/>
        <v>0</v>
      </c>
      <c r="L41" s="163"/>
      <c r="M41" s="161"/>
      <c r="N41" s="163">
        <v>0</v>
      </c>
      <c r="O41" s="163">
        <f t="shared" si="10"/>
        <v>0</v>
      </c>
      <c r="P41" s="163"/>
      <c r="Q41" s="161"/>
      <c r="R41" s="163">
        <v>0</v>
      </c>
      <c r="S41" s="163">
        <f t="shared" si="11"/>
        <v>0</v>
      </c>
      <c r="T41" s="163"/>
      <c r="U41" s="161"/>
      <c r="V41" s="163">
        <v>0</v>
      </c>
      <c r="W41" s="163">
        <f t="shared" si="12"/>
        <v>0</v>
      </c>
      <c r="X41" s="163"/>
      <c r="Y41" s="161"/>
      <c r="Z41" s="163">
        <v>0</v>
      </c>
      <c r="AA41" s="163">
        <f t="shared" si="13"/>
        <v>0</v>
      </c>
    </row>
    <row r="42" spans="1:27">
      <c r="A42" s="14"/>
      <c r="B42" s="27"/>
      <c r="C42" s="168" t="s">
        <v>329</v>
      </c>
      <c r="D42" s="166" t="s">
        <v>249</v>
      </c>
      <c r="E42" s="29"/>
      <c r="F42" s="32"/>
      <c r="G42" s="32">
        <f t="shared" si="8"/>
        <v>0</v>
      </c>
      <c r="H42" s="68"/>
      <c r="I42" s="161">
        <v>0</v>
      </c>
      <c r="J42" s="163">
        <v>0</v>
      </c>
      <c r="K42" s="163">
        <f t="shared" si="9"/>
        <v>0</v>
      </c>
      <c r="L42" s="163"/>
      <c r="M42" s="161"/>
      <c r="N42" s="163">
        <v>0</v>
      </c>
      <c r="O42" s="163">
        <f t="shared" si="10"/>
        <v>0</v>
      </c>
      <c r="P42" s="163"/>
      <c r="Q42" s="161"/>
      <c r="R42" s="163">
        <v>0</v>
      </c>
      <c r="S42" s="163">
        <f t="shared" si="11"/>
        <v>0</v>
      </c>
      <c r="T42" s="163"/>
      <c r="U42" s="161"/>
      <c r="V42" s="163">
        <v>0</v>
      </c>
      <c r="W42" s="163">
        <f t="shared" si="12"/>
        <v>0</v>
      </c>
      <c r="X42" s="163"/>
      <c r="Y42" s="161"/>
      <c r="Z42" s="163">
        <v>0</v>
      </c>
      <c r="AA42" s="163">
        <f t="shared" si="13"/>
        <v>0</v>
      </c>
    </row>
    <row r="43" spans="1:27">
      <c r="A43" s="35"/>
      <c r="B43" s="27"/>
      <c r="C43" s="168"/>
      <c r="D43" s="166"/>
      <c r="E43" s="37"/>
      <c r="F43" s="33"/>
      <c r="G43" s="34"/>
      <c r="H43" s="68"/>
      <c r="I43" s="161"/>
      <c r="J43" s="163"/>
      <c r="K43" s="163"/>
      <c r="L43" s="163"/>
      <c r="M43" s="161"/>
      <c r="N43" s="163"/>
      <c r="O43" s="163"/>
      <c r="P43" s="163"/>
      <c r="Q43" s="161"/>
      <c r="R43" s="163"/>
      <c r="S43" s="163"/>
      <c r="T43" s="163"/>
      <c r="U43" s="161"/>
      <c r="V43" s="163"/>
      <c r="W43" s="163"/>
      <c r="X43" s="163"/>
      <c r="Y43" s="161"/>
      <c r="Z43" s="163"/>
      <c r="AA43" s="163"/>
    </row>
    <row r="44" spans="1:27">
      <c r="A44" s="35"/>
      <c r="B44" s="27"/>
      <c r="C44" s="172" t="s">
        <v>357</v>
      </c>
      <c r="D44" s="164"/>
      <c r="E44" s="29"/>
      <c r="F44" s="33" t="s">
        <v>10</v>
      </c>
      <c r="G44" s="34">
        <f>K44+O44+S44+W44+AA44</f>
        <v>79196.989999999991</v>
      </c>
      <c r="H44" s="68"/>
      <c r="I44" s="161"/>
      <c r="J44" s="33" t="s">
        <v>10</v>
      </c>
      <c r="K44" s="34">
        <f>SUM(K16:K43)</f>
        <v>20604.499</v>
      </c>
      <c r="L44" s="163"/>
      <c r="M44" s="161"/>
      <c r="N44" s="33" t="s">
        <v>10</v>
      </c>
      <c r="O44" s="34">
        <f>SUM(O16:O43)</f>
        <v>3056.5150000000003</v>
      </c>
      <c r="P44" s="163"/>
      <c r="Q44" s="161"/>
      <c r="R44" s="33" t="s">
        <v>10</v>
      </c>
      <c r="S44" s="34">
        <f>SUM(S16:S43)</f>
        <v>23243.291000000001</v>
      </c>
      <c r="T44" s="163"/>
      <c r="U44" s="161"/>
      <c r="V44" s="33" t="s">
        <v>10</v>
      </c>
      <c r="W44" s="34">
        <f>SUM(W16:W43)</f>
        <v>20763.602999999996</v>
      </c>
      <c r="X44" s="163"/>
      <c r="Y44" s="161"/>
      <c r="Z44" s="33" t="s">
        <v>10</v>
      </c>
      <c r="AA44" s="34">
        <f>SUM(AA16:AA43)</f>
        <v>11529.081999999999</v>
      </c>
    </row>
    <row r="45" spans="1:27">
      <c r="A45" s="35"/>
      <c r="B45" s="27"/>
      <c r="C45" s="168"/>
      <c r="D45" s="166"/>
      <c r="E45" s="37"/>
      <c r="F45" s="33"/>
      <c r="G45" s="34"/>
      <c r="H45" s="68"/>
      <c r="I45" s="161"/>
      <c r="J45" s="163"/>
      <c r="K45" s="163"/>
      <c r="L45" s="163"/>
      <c r="M45" s="161"/>
      <c r="N45" s="163"/>
      <c r="O45" s="163"/>
      <c r="P45" s="163"/>
      <c r="Q45" s="161"/>
      <c r="R45" s="163"/>
      <c r="S45" s="163"/>
      <c r="T45" s="163"/>
      <c r="U45" s="161"/>
      <c r="V45" s="163"/>
      <c r="W45" s="163"/>
      <c r="X45" s="163"/>
      <c r="Y45" s="161"/>
      <c r="Z45" s="163"/>
      <c r="AA45" s="163"/>
    </row>
    <row r="46" spans="1:27">
      <c r="A46" s="35"/>
      <c r="B46" s="27"/>
      <c r="C46" s="168"/>
      <c r="D46" s="166"/>
      <c r="E46" s="37"/>
      <c r="F46" s="33"/>
      <c r="G46" s="34"/>
      <c r="H46" s="88"/>
      <c r="I46" s="161"/>
      <c r="J46" s="163"/>
      <c r="K46" s="163"/>
      <c r="L46" s="163"/>
      <c r="M46" s="161"/>
      <c r="N46" s="163"/>
      <c r="O46" s="163"/>
      <c r="P46" s="163"/>
      <c r="Q46" s="161"/>
      <c r="R46" s="163"/>
      <c r="S46" s="163"/>
      <c r="T46" s="163"/>
      <c r="U46" s="161"/>
      <c r="V46" s="163"/>
      <c r="W46" s="163"/>
      <c r="X46" s="163"/>
      <c r="Y46" s="161"/>
      <c r="Z46" s="163"/>
      <c r="AA46" s="163"/>
    </row>
    <row r="47" spans="1:27">
      <c r="A47" s="35"/>
      <c r="B47" s="62" t="s">
        <v>21</v>
      </c>
      <c r="C47" s="173" t="s">
        <v>346</v>
      </c>
      <c r="D47" s="174"/>
      <c r="E47" s="65"/>
      <c r="F47" s="66"/>
      <c r="G47" s="66"/>
      <c r="H47" s="64"/>
      <c r="I47" s="178"/>
      <c r="J47" s="180"/>
      <c r="K47" s="180"/>
      <c r="L47" s="180"/>
      <c r="M47" s="178"/>
      <c r="N47" s="180"/>
      <c r="O47" s="180"/>
      <c r="P47" s="180"/>
      <c r="Q47" s="178"/>
      <c r="R47" s="180"/>
      <c r="S47" s="180"/>
      <c r="T47" s="180"/>
      <c r="U47" s="178"/>
      <c r="V47" s="180"/>
      <c r="W47" s="180"/>
      <c r="X47" s="180"/>
      <c r="Y47" s="178"/>
      <c r="Z47" s="180"/>
      <c r="AA47" s="180"/>
    </row>
    <row r="48" spans="1:27">
      <c r="A48" s="35"/>
      <c r="B48" s="27"/>
      <c r="C48" s="191" t="s">
        <v>326</v>
      </c>
      <c r="D48" s="166"/>
      <c r="E48" s="37"/>
      <c r="F48" s="33"/>
      <c r="G48" s="34"/>
      <c r="H48" s="68"/>
      <c r="I48" s="161"/>
      <c r="J48" s="163"/>
      <c r="K48" s="163"/>
      <c r="L48" s="163"/>
      <c r="M48" s="161"/>
      <c r="N48" s="163"/>
      <c r="O48" s="163"/>
      <c r="P48" s="163"/>
      <c r="Q48" s="161"/>
      <c r="R48" s="163"/>
      <c r="S48" s="163"/>
      <c r="T48" s="163"/>
      <c r="U48" s="161"/>
      <c r="V48" s="163"/>
      <c r="W48" s="163"/>
      <c r="X48" s="163"/>
      <c r="Y48" s="161"/>
      <c r="Z48" s="163"/>
      <c r="AA48" s="163"/>
    </row>
    <row r="49" spans="1:27">
      <c r="A49" s="35"/>
      <c r="B49" s="27"/>
      <c r="C49" s="168" t="s">
        <v>910</v>
      </c>
      <c r="D49" s="166" t="s">
        <v>69</v>
      </c>
      <c r="E49" s="29">
        <f t="shared" ref="E49:E51" si="15">I49+M49+Q49+U49+Y49</f>
        <v>5</v>
      </c>
      <c r="F49" s="32">
        <v>321.62700000000001</v>
      </c>
      <c r="G49" s="32">
        <f t="shared" ref="G49:G51" si="16">K49+O49+S49+W49+AA49</f>
        <v>1608.135</v>
      </c>
      <c r="H49" s="68"/>
      <c r="I49" s="161"/>
      <c r="J49" s="163"/>
      <c r="K49" s="163">
        <f t="shared" ref="K49:K51" si="17">I49*J49</f>
        <v>0</v>
      </c>
      <c r="L49" s="160"/>
      <c r="M49" s="161">
        <v>2</v>
      </c>
      <c r="N49" s="32">
        <v>321.62700000000001</v>
      </c>
      <c r="O49" s="163">
        <f t="shared" ref="O49:O51" si="18">M49*N49</f>
        <v>643.25400000000002</v>
      </c>
      <c r="P49" s="160"/>
      <c r="Q49" s="161">
        <v>2</v>
      </c>
      <c r="R49" s="32">
        <v>321.62700000000001</v>
      </c>
      <c r="S49" s="163">
        <f t="shared" ref="S49:S51" si="19">Q49*R49</f>
        <v>643.25400000000002</v>
      </c>
      <c r="T49" s="160"/>
      <c r="U49" s="161">
        <v>1</v>
      </c>
      <c r="V49" s="32">
        <v>321.62700000000001</v>
      </c>
      <c r="W49" s="163">
        <f t="shared" ref="W49:W51" si="20">U49*V49</f>
        <v>321.62700000000001</v>
      </c>
      <c r="X49" s="160"/>
      <c r="Y49" s="161"/>
      <c r="Z49" s="163"/>
      <c r="AA49" s="163">
        <f t="shared" ref="AA49:AA51" si="21">Y49*Z49</f>
        <v>0</v>
      </c>
    </row>
    <row r="50" spans="1:27">
      <c r="A50" s="35"/>
      <c r="B50" s="27"/>
      <c r="C50" s="168" t="s">
        <v>347</v>
      </c>
      <c r="D50" s="166" t="s">
        <v>69</v>
      </c>
      <c r="E50" s="29">
        <f t="shared" si="15"/>
        <v>11</v>
      </c>
      <c r="F50" s="32">
        <v>289.01299999999998</v>
      </c>
      <c r="G50" s="32">
        <f t="shared" si="16"/>
        <v>3179.143</v>
      </c>
      <c r="H50" s="68"/>
      <c r="I50" s="161"/>
      <c r="J50" s="163"/>
      <c r="K50" s="163">
        <f t="shared" si="17"/>
        <v>0</v>
      </c>
      <c r="L50" s="160"/>
      <c r="M50" s="161"/>
      <c r="N50" s="32"/>
      <c r="O50" s="163">
        <f t="shared" si="18"/>
        <v>0</v>
      </c>
      <c r="P50" s="160"/>
      <c r="Q50" s="161">
        <v>8</v>
      </c>
      <c r="R50" s="32">
        <v>289.01299999999998</v>
      </c>
      <c r="S50" s="163">
        <f t="shared" si="19"/>
        <v>2312.1039999999998</v>
      </c>
      <c r="T50" s="160"/>
      <c r="U50" s="161">
        <v>3</v>
      </c>
      <c r="V50" s="32">
        <v>289.01299999999998</v>
      </c>
      <c r="W50" s="163">
        <f t="shared" si="20"/>
        <v>867.03899999999999</v>
      </c>
      <c r="X50" s="160"/>
      <c r="Y50" s="161"/>
      <c r="Z50" s="163"/>
      <c r="AA50" s="163">
        <f t="shared" si="21"/>
        <v>0</v>
      </c>
    </row>
    <row r="51" spans="1:27">
      <c r="A51" s="35"/>
      <c r="B51" s="27"/>
      <c r="C51" s="168" t="s">
        <v>348</v>
      </c>
      <c r="D51" s="166" t="s">
        <v>69</v>
      </c>
      <c r="E51" s="29">
        <f t="shared" si="15"/>
        <v>6</v>
      </c>
      <c r="F51" s="32">
        <v>784.93600000000004</v>
      </c>
      <c r="G51" s="32">
        <f t="shared" si="16"/>
        <v>4709.616</v>
      </c>
      <c r="H51" s="68"/>
      <c r="I51" s="161"/>
      <c r="J51" s="163"/>
      <c r="K51" s="163">
        <f t="shared" si="17"/>
        <v>0</v>
      </c>
      <c r="L51" s="160"/>
      <c r="M51" s="161">
        <v>1</v>
      </c>
      <c r="N51" s="32">
        <v>784.93600000000004</v>
      </c>
      <c r="O51" s="163">
        <f t="shared" si="18"/>
        <v>784.93600000000004</v>
      </c>
      <c r="P51" s="160"/>
      <c r="Q51" s="161">
        <v>3</v>
      </c>
      <c r="R51" s="32">
        <v>784.93600000000004</v>
      </c>
      <c r="S51" s="163">
        <f t="shared" si="19"/>
        <v>2354.808</v>
      </c>
      <c r="T51" s="160"/>
      <c r="U51" s="161">
        <v>2</v>
      </c>
      <c r="V51" s="32">
        <v>784.93600000000004</v>
      </c>
      <c r="W51" s="163">
        <f t="shared" si="20"/>
        <v>1569.8720000000001</v>
      </c>
      <c r="X51" s="160"/>
      <c r="Y51" s="161"/>
      <c r="Z51" s="163"/>
      <c r="AA51" s="163">
        <f t="shared" si="21"/>
        <v>0</v>
      </c>
    </row>
    <row r="52" spans="1:27">
      <c r="A52" s="35"/>
      <c r="B52" s="27"/>
      <c r="C52" s="168" t="s">
        <v>349</v>
      </c>
      <c r="D52" s="166" t="s">
        <v>341</v>
      </c>
      <c r="E52" s="29"/>
      <c r="F52" s="32"/>
      <c r="G52" s="32"/>
      <c r="H52" s="68"/>
      <c r="I52" s="161"/>
      <c r="J52" s="163"/>
      <c r="K52" s="163"/>
      <c r="L52" s="160"/>
      <c r="M52" s="161"/>
      <c r="N52" s="163"/>
      <c r="O52" s="163"/>
      <c r="P52" s="160"/>
      <c r="Q52" s="161"/>
      <c r="R52" s="163"/>
      <c r="S52" s="163"/>
      <c r="T52" s="160"/>
      <c r="U52" s="161"/>
      <c r="V52" s="163"/>
      <c r="W52" s="163"/>
      <c r="X52" s="160"/>
      <c r="Y52" s="161"/>
      <c r="Z52" s="163"/>
      <c r="AA52" s="163"/>
    </row>
    <row r="53" spans="1:27">
      <c r="A53" s="35"/>
      <c r="B53" s="27"/>
      <c r="C53" s="168" t="s">
        <v>350</v>
      </c>
      <c r="D53" s="166" t="s">
        <v>69</v>
      </c>
      <c r="E53" s="29">
        <f t="shared" ref="E53:E55" si="22">I53+M53+Q53+U53+Y53</f>
        <v>3</v>
      </c>
      <c r="F53" s="32">
        <v>145.99799999999999</v>
      </c>
      <c r="G53" s="32">
        <f t="shared" ref="G53:G56" si="23">K53+O53+S53+W53+AA53</f>
        <v>437.99399999999997</v>
      </c>
      <c r="H53" s="68"/>
      <c r="I53" s="161">
        <v>1</v>
      </c>
      <c r="J53" s="163">
        <v>145.99799999999999</v>
      </c>
      <c r="K53" s="163">
        <f t="shared" ref="K53:K55" si="24">I53*J53</f>
        <v>145.99799999999999</v>
      </c>
      <c r="L53" s="160"/>
      <c r="M53" s="161">
        <v>2</v>
      </c>
      <c r="N53" s="163">
        <v>145.99799999999999</v>
      </c>
      <c r="O53" s="163">
        <f t="shared" ref="O53:O56" si="25">M53*N53</f>
        <v>291.99599999999998</v>
      </c>
      <c r="P53" s="160"/>
      <c r="Q53" s="161"/>
      <c r="R53" s="163"/>
      <c r="S53" s="163">
        <f t="shared" ref="S53:S56" si="26">Q53*R53</f>
        <v>0</v>
      </c>
      <c r="T53" s="160"/>
      <c r="U53" s="161"/>
      <c r="V53" s="163"/>
      <c r="W53" s="163">
        <f t="shared" ref="W53:W56" si="27">U53*V53</f>
        <v>0</v>
      </c>
      <c r="X53" s="160"/>
      <c r="Y53" s="161"/>
      <c r="Z53" s="163"/>
      <c r="AA53" s="163">
        <f t="shared" ref="AA53:AA55" si="28">Y53*Z53</f>
        <v>0</v>
      </c>
    </row>
    <row r="54" spans="1:27">
      <c r="A54" s="35"/>
      <c r="B54" s="27"/>
      <c r="C54" s="168" t="s">
        <v>351</v>
      </c>
      <c r="D54" s="376" t="s">
        <v>911</v>
      </c>
      <c r="E54" s="372">
        <v>0</v>
      </c>
      <c r="F54" s="32"/>
      <c r="G54" s="32">
        <f t="shared" si="23"/>
        <v>0</v>
      </c>
      <c r="H54" s="68"/>
      <c r="I54" s="161">
        <v>0</v>
      </c>
      <c r="J54" s="163"/>
      <c r="K54" s="163">
        <f t="shared" si="24"/>
        <v>0</v>
      </c>
      <c r="L54" s="160"/>
      <c r="M54" s="161">
        <v>0</v>
      </c>
      <c r="N54" s="163"/>
      <c r="O54" s="163">
        <f t="shared" si="25"/>
        <v>0</v>
      </c>
      <c r="P54" s="160"/>
      <c r="Q54" s="161"/>
      <c r="R54" s="163"/>
      <c r="S54" s="163">
        <f t="shared" si="26"/>
        <v>0</v>
      </c>
      <c r="T54" s="160"/>
      <c r="U54" s="161"/>
      <c r="V54" s="163"/>
      <c r="W54" s="163">
        <f t="shared" si="27"/>
        <v>0</v>
      </c>
      <c r="X54" s="160"/>
      <c r="Y54" s="161"/>
      <c r="Z54" s="163"/>
      <c r="AA54" s="163">
        <f t="shared" si="28"/>
        <v>0</v>
      </c>
    </row>
    <row r="55" spans="1:27">
      <c r="A55" s="35"/>
      <c r="B55" s="27"/>
      <c r="C55" s="168" t="s">
        <v>352</v>
      </c>
      <c r="D55" s="166" t="s">
        <v>6</v>
      </c>
      <c r="E55" s="29">
        <f t="shared" si="22"/>
        <v>1</v>
      </c>
      <c r="F55" s="32">
        <v>2084.2939999999999</v>
      </c>
      <c r="G55" s="32">
        <f t="shared" si="23"/>
        <v>2084.2939999999999</v>
      </c>
      <c r="H55" s="68"/>
      <c r="I55" s="161">
        <v>1</v>
      </c>
      <c r="J55" s="32">
        <v>2084.2939999999999</v>
      </c>
      <c r="K55" s="163">
        <f t="shared" si="24"/>
        <v>2084.2939999999999</v>
      </c>
      <c r="L55" s="160"/>
      <c r="M55" s="161"/>
      <c r="N55" s="163"/>
      <c r="O55" s="163">
        <f t="shared" si="25"/>
        <v>0</v>
      </c>
      <c r="P55" s="160"/>
      <c r="Q55" s="161"/>
      <c r="R55" s="163"/>
      <c r="S55" s="163">
        <f t="shared" si="26"/>
        <v>0</v>
      </c>
      <c r="T55" s="160"/>
      <c r="U55" s="161"/>
      <c r="V55" s="163"/>
      <c r="W55" s="163">
        <f t="shared" si="27"/>
        <v>0</v>
      </c>
      <c r="X55" s="160"/>
      <c r="Y55" s="161"/>
      <c r="Z55" s="163"/>
      <c r="AA55" s="163">
        <f t="shared" si="28"/>
        <v>0</v>
      </c>
    </row>
    <row r="56" spans="1:27">
      <c r="A56" s="35"/>
      <c r="B56" s="27"/>
      <c r="C56" s="168" t="s">
        <v>328</v>
      </c>
      <c r="D56" s="376" t="s">
        <v>912</v>
      </c>
      <c r="E56" s="372">
        <v>1</v>
      </c>
      <c r="F56" s="367">
        <v>1539.6320000000001</v>
      </c>
      <c r="G56" s="367">
        <f t="shared" si="23"/>
        <v>1539.63</v>
      </c>
      <c r="H56" s="68"/>
      <c r="I56" s="161"/>
      <c r="J56" s="163"/>
      <c r="K56" s="163"/>
      <c r="L56" s="163"/>
      <c r="M56" s="372">
        <v>1</v>
      </c>
      <c r="N56" s="367">
        <f>1539.63/6</f>
        <v>256.60500000000002</v>
      </c>
      <c r="O56" s="367">
        <f t="shared" si="25"/>
        <v>256.60500000000002</v>
      </c>
      <c r="P56" s="163"/>
      <c r="Q56" s="372">
        <v>3</v>
      </c>
      <c r="R56" s="367">
        <f>1539.63/6</f>
        <v>256.60500000000002</v>
      </c>
      <c r="S56" s="367">
        <f t="shared" si="26"/>
        <v>769.81500000000005</v>
      </c>
      <c r="T56" s="163"/>
      <c r="U56" s="372">
        <v>2</v>
      </c>
      <c r="V56" s="367">
        <f>1539.63/6</f>
        <v>256.60500000000002</v>
      </c>
      <c r="W56" s="367">
        <f t="shared" si="27"/>
        <v>513.21</v>
      </c>
      <c r="X56" s="163"/>
      <c r="Y56" s="161"/>
      <c r="Z56" s="163"/>
      <c r="AA56" s="163"/>
    </row>
    <row r="57" spans="1:27">
      <c r="A57" s="14"/>
      <c r="B57" s="27"/>
      <c r="C57" s="168" t="s">
        <v>329</v>
      </c>
      <c r="D57" s="166" t="s">
        <v>249</v>
      </c>
      <c r="E57" s="29"/>
      <c r="F57" s="32"/>
      <c r="G57" s="32"/>
      <c r="H57" s="68"/>
      <c r="I57" s="161"/>
      <c r="J57" s="163"/>
      <c r="K57" s="163"/>
      <c r="L57" s="163"/>
      <c r="M57" s="161"/>
      <c r="N57" s="163"/>
      <c r="O57" s="163"/>
      <c r="P57" s="163"/>
      <c r="Q57" s="161"/>
      <c r="R57" s="163"/>
      <c r="S57" s="163"/>
      <c r="T57" s="163"/>
      <c r="U57" s="161"/>
      <c r="V57" s="163"/>
      <c r="W57" s="163"/>
      <c r="X57" s="163"/>
      <c r="Y57" s="161"/>
      <c r="Z57" s="163"/>
      <c r="AA57" s="163"/>
    </row>
    <row r="58" spans="1:27">
      <c r="A58" s="35"/>
      <c r="B58" s="27"/>
      <c r="C58" s="168"/>
      <c r="D58" s="166"/>
      <c r="E58" s="37"/>
      <c r="F58" s="33"/>
      <c r="G58" s="34"/>
      <c r="H58" s="68"/>
      <c r="I58" s="161"/>
      <c r="J58" s="163"/>
      <c r="K58" s="163"/>
      <c r="L58" s="163"/>
      <c r="M58" s="161"/>
      <c r="N58" s="163"/>
      <c r="O58" s="163"/>
      <c r="P58" s="163"/>
      <c r="Q58" s="161"/>
      <c r="R58" s="163"/>
      <c r="S58" s="163"/>
      <c r="T58" s="163"/>
      <c r="U58" s="161"/>
      <c r="V58" s="163"/>
      <c r="W58" s="163"/>
      <c r="X58" s="163"/>
      <c r="Y58" s="161"/>
      <c r="Z58" s="163"/>
      <c r="AA58" s="163"/>
    </row>
    <row r="59" spans="1:27">
      <c r="A59" s="35"/>
      <c r="B59" s="27"/>
      <c r="C59" s="172" t="s">
        <v>361</v>
      </c>
      <c r="D59" s="164"/>
      <c r="E59" s="29"/>
      <c r="F59" s="33" t="s">
        <v>10</v>
      </c>
      <c r="G59" s="34">
        <f>K59+O59+S59+W59+AA59</f>
        <v>13558.812</v>
      </c>
      <c r="H59" s="68"/>
      <c r="I59" s="161"/>
      <c r="J59" s="33" t="s">
        <v>10</v>
      </c>
      <c r="K59" s="34">
        <f>SUM(K47:K58)</f>
        <v>2230.2919999999999</v>
      </c>
      <c r="L59" s="163"/>
      <c r="M59" s="161"/>
      <c r="N59" s="33" t="s">
        <v>10</v>
      </c>
      <c r="O59" s="34">
        <f>SUM(O47:O58)</f>
        <v>1976.7910000000002</v>
      </c>
      <c r="P59" s="163"/>
      <c r="Q59" s="161"/>
      <c r="R59" s="33" t="s">
        <v>10</v>
      </c>
      <c r="S59" s="34">
        <f>SUM(S47:S58)</f>
        <v>6079.9809999999998</v>
      </c>
      <c r="T59" s="163"/>
      <c r="U59" s="161"/>
      <c r="V59" s="33" t="s">
        <v>10</v>
      </c>
      <c r="W59" s="34">
        <f>SUM(W47:W58)</f>
        <v>3271.748</v>
      </c>
      <c r="X59" s="163"/>
      <c r="Y59" s="161"/>
      <c r="Z59" s="33" t="s">
        <v>10</v>
      </c>
      <c r="AA59" s="34">
        <f>SUM(AA47:AA58)</f>
        <v>0</v>
      </c>
    </row>
    <row r="60" spans="1:27">
      <c r="A60" s="35"/>
      <c r="B60" s="377"/>
      <c r="C60" s="172"/>
      <c r="D60" s="164"/>
      <c r="E60" s="378"/>
      <c r="F60" s="379"/>
      <c r="G60" s="380"/>
      <c r="H60" s="88"/>
      <c r="I60" s="161"/>
      <c r="J60" s="379"/>
      <c r="K60" s="380"/>
      <c r="L60" s="163"/>
      <c r="M60" s="161"/>
      <c r="N60" s="379"/>
      <c r="O60" s="380"/>
      <c r="P60" s="163"/>
      <c r="Q60" s="161"/>
      <c r="R60" s="379"/>
      <c r="S60" s="380"/>
      <c r="T60" s="163"/>
      <c r="U60" s="161"/>
      <c r="V60" s="379"/>
      <c r="W60" s="380"/>
      <c r="X60" s="163"/>
      <c r="Y60" s="161"/>
      <c r="Z60" s="379"/>
      <c r="AA60" s="380"/>
    </row>
    <row r="61" spans="1:27">
      <c r="A61" s="35"/>
      <c r="B61" s="62" t="s">
        <v>78</v>
      </c>
      <c r="C61" s="173" t="s">
        <v>913</v>
      </c>
      <c r="D61" s="174"/>
      <c r="E61" s="65"/>
      <c r="F61" s="66"/>
      <c r="G61" s="66"/>
      <c r="H61" s="64"/>
      <c r="I61" s="178"/>
      <c r="J61" s="180"/>
      <c r="K61" s="180"/>
      <c r="L61" s="180"/>
      <c r="M61" s="178"/>
      <c r="N61" s="180"/>
      <c r="O61" s="180"/>
      <c r="P61" s="180"/>
      <c r="Q61" s="178"/>
      <c r="R61" s="180"/>
      <c r="S61" s="180"/>
      <c r="T61" s="180"/>
      <c r="U61" s="178"/>
      <c r="V61" s="180"/>
      <c r="W61" s="180"/>
      <c r="X61" s="180"/>
      <c r="Y61" s="178"/>
      <c r="Z61" s="180"/>
      <c r="AA61" s="180"/>
    </row>
    <row r="62" spans="1:27">
      <c r="A62" s="35"/>
      <c r="B62" s="27"/>
      <c r="C62" s="191" t="s">
        <v>326</v>
      </c>
      <c r="D62" s="166"/>
      <c r="E62" s="37"/>
      <c r="F62" s="33"/>
      <c r="G62" s="34"/>
      <c r="H62" s="68"/>
      <c r="I62" s="161"/>
      <c r="J62" s="163"/>
      <c r="K62" s="163"/>
      <c r="L62" s="163"/>
      <c r="M62" s="161"/>
      <c r="N62" s="163"/>
      <c r="O62" s="163"/>
      <c r="P62" s="163"/>
      <c r="Q62" s="161"/>
      <c r="R62" s="163"/>
      <c r="S62" s="163"/>
      <c r="T62" s="163"/>
      <c r="U62" s="161"/>
      <c r="V62" s="163"/>
      <c r="W62" s="163"/>
      <c r="X62" s="163"/>
      <c r="Y62" s="161"/>
      <c r="Z62" s="163"/>
      <c r="AA62" s="163"/>
    </row>
    <row r="63" spans="1:27">
      <c r="A63" s="35"/>
      <c r="B63" s="27"/>
      <c r="C63" s="168" t="s">
        <v>914</v>
      </c>
      <c r="D63" s="166" t="s">
        <v>69</v>
      </c>
      <c r="E63" s="29">
        <f t="shared" ref="E63:E67" si="29">I63+M63+Q63+U63+Y63</f>
        <v>5</v>
      </c>
      <c r="F63" s="32">
        <v>144.221</v>
      </c>
      <c r="G63" s="32">
        <f t="shared" ref="G63:G68" si="30">K63+O63+S63+W63+AA63</f>
        <v>721.10500000000002</v>
      </c>
      <c r="H63" s="68"/>
      <c r="I63" s="161"/>
      <c r="J63" s="163"/>
      <c r="K63" s="163">
        <f t="shared" ref="K63:K67" si="31">I63*J63</f>
        <v>0</v>
      </c>
      <c r="L63" s="160"/>
      <c r="M63" s="161">
        <v>2</v>
      </c>
      <c r="N63" s="32">
        <v>144.221</v>
      </c>
      <c r="O63" s="163">
        <f t="shared" ref="O63:O67" si="32">M63*N63</f>
        <v>288.44200000000001</v>
      </c>
      <c r="P63" s="160"/>
      <c r="Q63" s="161">
        <v>2</v>
      </c>
      <c r="R63" s="163">
        <v>144.221</v>
      </c>
      <c r="S63" s="163">
        <f t="shared" ref="S63:S68" si="33">Q63*R63</f>
        <v>288.44200000000001</v>
      </c>
      <c r="T63" s="160"/>
      <c r="U63" s="161">
        <v>1</v>
      </c>
      <c r="V63" s="32">
        <v>144.221</v>
      </c>
      <c r="W63" s="163">
        <f t="shared" ref="W63:W67" si="34">U63*V63</f>
        <v>144.221</v>
      </c>
      <c r="X63" s="160"/>
      <c r="Y63" s="161"/>
      <c r="Z63" s="163"/>
      <c r="AA63" s="163">
        <f t="shared" ref="AA63:AA67" si="35">Y63*Z63</f>
        <v>0</v>
      </c>
    </row>
    <row r="64" spans="1:27">
      <c r="A64" s="35"/>
      <c r="B64" s="27"/>
      <c r="C64" s="168" t="s">
        <v>915</v>
      </c>
      <c r="D64" s="166" t="s">
        <v>6</v>
      </c>
      <c r="E64" s="29">
        <f t="shared" si="29"/>
        <v>1</v>
      </c>
      <c r="F64" s="32">
        <v>1739.06</v>
      </c>
      <c r="G64" s="32">
        <f t="shared" si="30"/>
        <v>1739.06</v>
      </c>
      <c r="H64" s="68"/>
      <c r="I64" s="161"/>
      <c r="J64" s="163"/>
      <c r="K64" s="163">
        <f t="shared" si="31"/>
        <v>0</v>
      </c>
      <c r="L64" s="160"/>
      <c r="M64" s="161"/>
      <c r="N64" s="163"/>
      <c r="O64" s="163">
        <f t="shared" si="32"/>
        <v>0</v>
      </c>
      <c r="P64" s="160"/>
      <c r="Q64" s="161">
        <v>1</v>
      </c>
      <c r="R64" s="163">
        <v>1739.06</v>
      </c>
      <c r="S64" s="163">
        <f t="shared" si="33"/>
        <v>1739.06</v>
      </c>
      <c r="T64" s="160"/>
      <c r="U64" s="161"/>
      <c r="V64" s="163"/>
      <c r="W64" s="163">
        <f t="shared" si="34"/>
        <v>0</v>
      </c>
      <c r="X64" s="160"/>
      <c r="Y64" s="161"/>
      <c r="Z64" s="163"/>
      <c r="AA64" s="163">
        <f t="shared" si="35"/>
        <v>0</v>
      </c>
    </row>
    <row r="65" spans="1:27">
      <c r="A65" s="35"/>
      <c r="B65" s="27"/>
      <c r="C65" s="168" t="s">
        <v>916</v>
      </c>
      <c r="D65" s="166" t="s">
        <v>6</v>
      </c>
      <c r="E65" s="29">
        <f t="shared" si="29"/>
        <v>1</v>
      </c>
      <c r="F65" s="32">
        <v>818.08500000000004</v>
      </c>
      <c r="G65" s="32">
        <f t="shared" si="30"/>
        <v>818.08500000000004</v>
      </c>
      <c r="H65" s="68"/>
      <c r="I65" s="161"/>
      <c r="J65" s="163"/>
      <c r="K65" s="163">
        <f t="shared" si="31"/>
        <v>0</v>
      </c>
      <c r="L65" s="160"/>
      <c r="M65" s="161"/>
      <c r="N65" s="163"/>
      <c r="O65" s="163">
        <f t="shared" si="32"/>
        <v>0</v>
      </c>
      <c r="P65" s="160"/>
      <c r="Q65" s="161">
        <v>1</v>
      </c>
      <c r="R65" s="163">
        <v>818.08500000000004</v>
      </c>
      <c r="S65" s="163">
        <f t="shared" si="33"/>
        <v>818.08500000000004</v>
      </c>
      <c r="T65" s="160"/>
      <c r="U65" s="161"/>
      <c r="V65" s="163"/>
      <c r="W65" s="163">
        <f t="shared" si="34"/>
        <v>0</v>
      </c>
      <c r="X65" s="160"/>
      <c r="Y65" s="161"/>
      <c r="Z65" s="163"/>
      <c r="AA65" s="163">
        <f t="shared" si="35"/>
        <v>0</v>
      </c>
    </row>
    <row r="66" spans="1:27">
      <c r="A66" s="35"/>
      <c r="B66" s="27"/>
      <c r="C66" s="168" t="s">
        <v>351</v>
      </c>
      <c r="D66" s="376" t="s">
        <v>911</v>
      </c>
      <c r="E66" s="372">
        <v>0</v>
      </c>
      <c r="F66" s="32"/>
      <c r="G66" s="32">
        <f t="shared" si="30"/>
        <v>0</v>
      </c>
      <c r="H66" s="68"/>
      <c r="I66" s="161"/>
      <c r="J66" s="163"/>
      <c r="K66" s="163">
        <f t="shared" si="31"/>
        <v>0</v>
      </c>
      <c r="L66" s="160"/>
      <c r="M66" s="161">
        <v>1</v>
      </c>
      <c r="N66" s="163"/>
      <c r="O66" s="163">
        <f t="shared" si="32"/>
        <v>0</v>
      </c>
      <c r="P66" s="160"/>
      <c r="Q66" s="161"/>
      <c r="R66" s="163"/>
      <c r="S66" s="163">
        <f t="shared" si="33"/>
        <v>0</v>
      </c>
      <c r="T66" s="160"/>
      <c r="U66" s="161"/>
      <c r="V66" s="163"/>
      <c r="W66" s="163">
        <f t="shared" si="34"/>
        <v>0</v>
      </c>
      <c r="X66" s="160"/>
      <c r="Y66" s="161"/>
      <c r="Z66" s="163"/>
      <c r="AA66" s="163">
        <f t="shared" si="35"/>
        <v>0</v>
      </c>
    </row>
    <row r="67" spans="1:27">
      <c r="A67" s="35"/>
      <c r="B67" s="27"/>
      <c r="C67" s="168" t="s">
        <v>917</v>
      </c>
      <c r="D67" s="166" t="s">
        <v>6</v>
      </c>
      <c r="E67" s="29">
        <f t="shared" si="29"/>
        <v>1</v>
      </c>
      <c r="F67" s="32">
        <v>2388.3000000000002</v>
      </c>
      <c r="G67" s="32">
        <f t="shared" si="30"/>
        <v>2388.3000000000002</v>
      </c>
      <c r="H67" s="68"/>
      <c r="I67" s="161">
        <v>1</v>
      </c>
      <c r="J67" s="32">
        <v>2388.3000000000002</v>
      </c>
      <c r="K67" s="163">
        <f t="shared" si="31"/>
        <v>2388.3000000000002</v>
      </c>
      <c r="L67" s="160"/>
      <c r="M67" s="161"/>
      <c r="N67" s="163"/>
      <c r="O67" s="163">
        <f t="shared" si="32"/>
        <v>0</v>
      </c>
      <c r="P67" s="160"/>
      <c r="Q67" s="161"/>
      <c r="R67" s="163"/>
      <c r="S67" s="163">
        <f t="shared" si="33"/>
        <v>0</v>
      </c>
      <c r="T67" s="160"/>
      <c r="U67" s="161"/>
      <c r="V67" s="163"/>
      <c r="W67" s="163">
        <f t="shared" si="34"/>
        <v>0</v>
      </c>
      <c r="X67" s="160"/>
      <c r="Y67" s="161"/>
      <c r="Z67" s="163"/>
      <c r="AA67" s="163">
        <f t="shared" si="35"/>
        <v>0</v>
      </c>
    </row>
    <row r="68" spans="1:27">
      <c r="A68" s="35"/>
      <c r="B68" s="27"/>
      <c r="C68" s="168" t="s">
        <v>328</v>
      </c>
      <c r="D68" s="376" t="s">
        <v>6</v>
      </c>
      <c r="E68" s="372">
        <v>1</v>
      </c>
      <c r="F68" s="367">
        <v>1539.6360000000002</v>
      </c>
      <c r="G68" s="367">
        <f t="shared" si="30"/>
        <v>1539.6360000000002</v>
      </c>
      <c r="H68" s="68"/>
      <c r="I68" s="161"/>
      <c r="J68" s="163"/>
      <c r="K68" s="163"/>
      <c r="L68" s="163"/>
      <c r="M68" s="161"/>
      <c r="N68" s="163"/>
      <c r="O68" s="163"/>
      <c r="P68" s="163"/>
      <c r="Q68" s="374">
        <v>1</v>
      </c>
      <c r="R68" s="367">
        <v>1539.6360000000002</v>
      </c>
      <c r="S68" s="373">
        <f t="shared" si="33"/>
        <v>1539.6360000000002</v>
      </c>
      <c r="T68" s="163"/>
      <c r="U68" s="161"/>
      <c r="V68" s="163"/>
      <c r="W68" s="163"/>
      <c r="X68" s="163"/>
      <c r="Y68" s="161"/>
      <c r="Z68" s="163"/>
      <c r="AA68" s="163"/>
    </row>
    <row r="69" spans="1:27">
      <c r="A69" s="14"/>
      <c r="B69" s="27"/>
      <c r="C69" s="168" t="s">
        <v>329</v>
      </c>
      <c r="D69" s="166" t="s">
        <v>249</v>
      </c>
      <c r="E69" s="29"/>
      <c r="F69" s="32"/>
      <c r="G69" s="32"/>
      <c r="H69" s="68"/>
      <c r="I69" s="161"/>
      <c r="J69" s="163"/>
      <c r="K69" s="163"/>
      <c r="L69" s="163"/>
      <c r="M69" s="161"/>
      <c r="N69" s="163"/>
      <c r="O69" s="163"/>
      <c r="P69" s="163"/>
      <c r="Q69" s="161"/>
      <c r="R69" s="163"/>
      <c r="S69" s="163"/>
      <c r="T69" s="163"/>
      <c r="U69" s="161"/>
      <c r="V69" s="163"/>
      <c r="W69" s="163"/>
      <c r="X69" s="163"/>
      <c r="Y69" s="161"/>
      <c r="Z69" s="163"/>
      <c r="AA69" s="163"/>
    </row>
    <row r="70" spans="1:27">
      <c r="A70" s="35"/>
      <c r="B70" s="27"/>
      <c r="C70" s="168"/>
      <c r="D70" s="166"/>
      <c r="E70" s="37"/>
      <c r="F70" s="33"/>
      <c r="G70" s="34"/>
      <c r="H70" s="68"/>
      <c r="I70" s="161"/>
      <c r="J70" s="163"/>
      <c r="K70" s="163"/>
      <c r="L70" s="163"/>
      <c r="M70" s="161"/>
      <c r="N70" s="163"/>
      <c r="O70" s="163"/>
      <c r="P70" s="163"/>
      <c r="Q70" s="161"/>
      <c r="R70" s="163"/>
      <c r="S70" s="163"/>
      <c r="T70" s="163"/>
      <c r="U70" s="161"/>
      <c r="V70" s="163"/>
      <c r="W70" s="163"/>
      <c r="X70" s="163"/>
      <c r="Y70" s="161"/>
      <c r="Z70" s="163"/>
      <c r="AA70" s="163"/>
    </row>
    <row r="71" spans="1:27">
      <c r="A71" s="35"/>
      <c r="B71" s="27"/>
      <c r="C71" s="172" t="s">
        <v>918</v>
      </c>
      <c r="D71" s="164"/>
      <c r="E71" s="29"/>
      <c r="F71" s="33" t="s">
        <v>10</v>
      </c>
      <c r="G71" s="34">
        <f>K71+O71+S71+W71+AA71</f>
        <v>7206.1859999999997</v>
      </c>
      <c r="H71" s="68"/>
      <c r="I71" s="161"/>
      <c r="J71" s="33" t="s">
        <v>10</v>
      </c>
      <c r="K71" s="34">
        <f>SUM(K61:K70)</f>
        <v>2388.3000000000002</v>
      </c>
      <c r="L71" s="163"/>
      <c r="M71" s="161"/>
      <c r="N71" s="33" t="s">
        <v>10</v>
      </c>
      <c r="O71" s="34">
        <f>SUM(O61:O70)</f>
        <v>288.44200000000001</v>
      </c>
      <c r="P71" s="163"/>
      <c r="Q71" s="161"/>
      <c r="R71" s="33" t="s">
        <v>10</v>
      </c>
      <c r="S71" s="34">
        <f>SUM(S61:S70)</f>
        <v>4385.223</v>
      </c>
      <c r="T71" s="163"/>
      <c r="U71" s="161"/>
      <c r="V71" s="33" t="s">
        <v>10</v>
      </c>
      <c r="W71" s="34">
        <f>SUM(W61:W70)</f>
        <v>144.221</v>
      </c>
      <c r="X71" s="163"/>
      <c r="Y71" s="161"/>
      <c r="Z71" s="33" t="s">
        <v>10</v>
      </c>
      <c r="AA71" s="34">
        <f>SUM(AA61:AA70)</f>
        <v>0</v>
      </c>
    </row>
    <row r="72" spans="1:27">
      <c r="A72" s="35"/>
      <c r="B72" s="27"/>
      <c r="C72" s="168"/>
      <c r="D72" s="166"/>
      <c r="E72" s="37"/>
      <c r="F72" s="33"/>
      <c r="G72" s="34"/>
      <c r="H72" s="68"/>
      <c r="I72" s="161"/>
      <c r="J72" s="163"/>
      <c r="K72" s="163"/>
      <c r="L72" s="163"/>
      <c r="M72" s="161"/>
      <c r="N72" s="163"/>
      <c r="O72" s="163"/>
      <c r="P72" s="163"/>
      <c r="Q72" s="161"/>
      <c r="R72" s="163"/>
      <c r="S72" s="163"/>
      <c r="T72" s="163"/>
      <c r="U72" s="161"/>
      <c r="V72" s="163"/>
      <c r="W72" s="163"/>
      <c r="X72" s="163"/>
      <c r="Y72" s="161"/>
      <c r="Z72" s="163"/>
      <c r="AA72" s="163"/>
    </row>
    <row r="73" spans="1:27">
      <c r="A73" s="35"/>
      <c r="B73" s="62" t="s">
        <v>83</v>
      </c>
      <c r="C73" s="173" t="s">
        <v>919</v>
      </c>
      <c r="D73" s="174"/>
      <c r="E73" s="65"/>
      <c r="F73" s="66"/>
      <c r="G73" s="66"/>
      <c r="H73" s="64"/>
      <c r="I73" s="178"/>
      <c r="J73" s="180"/>
      <c r="K73" s="180"/>
      <c r="L73" s="180"/>
      <c r="M73" s="178"/>
      <c r="N73" s="180"/>
      <c r="O73" s="180"/>
      <c r="P73" s="180"/>
      <c r="Q73" s="178"/>
      <c r="R73" s="180"/>
      <c r="S73" s="180"/>
      <c r="T73" s="180"/>
      <c r="U73" s="178"/>
      <c r="V73" s="180"/>
      <c r="W73" s="180"/>
      <c r="X73" s="180"/>
      <c r="Y73" s="178"/>
      <c r="Z73" s="180"/>
      <c r="AA73" s="180"/>
    </row>
    <row r="74" spans="1:27">
      <c r="A74" s="35"/>
      <c r="B74" s="27"/>
      <c r="C74" s="168" t="s">
        <v>353</v>
      </c>
      <c r="D74" s="376" t="s">
        <v>920</v>
      </c>
      <c r="E74" s="372">
        <v>0</v>
      </c>
      <c r="F74" s="32"/>
      <c r="G74" s="32">
        <f t="shared" ref="G74:G76" si="36">K74+O74+S74+W74+AA74</f>
        <v>0</v>
      </c>
      <c r="H74" s="68"/>
      <c r="I74" s="161">
        <v>2</v>
      </c>
      <c r="J74" s="163"/>
      <c r="K74" s="163">
        <f t="shared" ref="K74:K76" si="37">I74*J74</f>
        <v>0</v>
      </c>
      <c r="L74" s="163"/>
      <c r="M74" s="161"/>
      <c r="N74" s="163"/>
      <c r="O74" s="163">
        <f t="shared" ref="O74:O76" si="38">M74*N74</f>
        <v>0</v>
      </c>
      <c r="P74" s="163"/>
      <c r="Q74" s="161"/>
      <c r="R74" s="163"/>
      <c r="S74" s="163">
        <f t="shared" ref="S74:S76" si="39">Q74*R74</f>
        <v>0</v>
      </c>
      <c r="T74" s="163"/>
      <c r="U74" s="161"/>
      <c r="V74" s="163"/>
      <c r="W74" s="163">
        <f t="shared" ref="W74:W76" si="40">U74*V74</f>
        <v>0</v>
      </c>
      <c r="X74" s="163"/>
      <c r="Y74" s="161"/>
      <c r="Z74" s="163"/>
      <c r="AA74" s="163">
        <f t="shared" ref="AA74:AA76" si="41">Y74*Z74</f>
        <v>0</v>
      </c>
    </row>
    <row r="75" spans="1:27">
      <c r="A75" s="35"/>
      <c r="B75" s="27"/>
      <c r="C75" s="168" t="s">
        <v>354</v>
      </c>
      <c r="D75" s="376" t="s">
        <v>920</v>
      </c>
      <c r="E75" s="372">
        <v>0</v>
      </c>
      <c r="F75" s="32"/>
      <c r="G75" s="32">
        <f t="shared" si="36"/>
        <v>0</v>
      </c>
      <c r="H75" s="68"/>
      <c r="I75" s="161">
        <v>1</v>
      </c>
      <c r="J75" s="163"/>
      <c r="K75" s="163">
        <f t="shared" si="37"/>
        <v>0</v>
      </c>
      <c r="L75" s="163"/>
      <c r="M75" s="161"/>
      <c r="N75" s="163"/>
      <c r="O75" s="163">
        <f t="shared" si="38"/>
        <v>0</v>
      </c>
      <c r="P75" s="163"/>
      <c r="Q75" s="161"/>
      <c r="R75" s="163"/>
      <c r="S75" s="163">
        <f t="shared" si="39"/>
        <v>0</v>
      </c>
      <c r="T75" s="163"/>
      <c r="U75" s="161"/>
      <c r="V75" s="163"/>
      <c r="W75" s="163">
        <f t="shared" si="40"/>
        <v>0</v>
      </c>
      <c r="X75" s="163"/>
      <c r="Y75" s="161"/>
      <c r="Z75" s="163"/>
      <c r="AA75" s="163">
        <f t="shared" si="41"/>
        <v>0</v>
      </c>
    </row>
    <row r="76" spans="1:27">
      <c r="A76" s="35"/>
      <c r="B76" s="27"/>
      <c r="C76" s="168" t="s">
        <v>355</v>
      </c>
      <c r="D76" s="376" t="s">
        <v>920</v>
      </c>
      <c r="E76" s="372">
        <v>0</v>
      </c>
      <c r="F76" s="32"/>
      <c r="G76" s="32">
        <f t="shared" si="36"/>
        <v>0</v>
      </c>
      <c r="H76" s="68"/>
      <c r="I76" s="161">
        <v>1</v>
      </c>
      <c r="J76" s="163"/>
      <c r="K76" s="163">
        <f t="shared" si="37"/>
        <v>0</v>
      </c>
      <c r="L76" s="163"/>
      <c r="M76" s="161"/>
      <c r="N76" s="163"/>
      <c r="O76" s="163">
        <f t="shared" si="38"/>
        <v>0</v>
      </c>
      <c r="P76" s="163"/>
      <c r="Q76" s="161"/>
      <c r="R76" s="163"/>
      <c r="S76" s="163">
        <f t="shared" si="39"/>
        <v>0</v>
      </c>
      <c r="T76" s="163"/>
      <c r="U76" s="161"/>
      <c r="V76" s="163"/>
      <c r="W76" s="163">
        <f t="shared" si="40"/>
        <v>0</v>
      </c>
      <c r="X76" s="163"/>
      <c r="Y76" s="161"/>
      <c r="Z76" s="163"/>
      <c r="AA76" s="163">
        <f t="shared" si="41"/>
        <v>0</v>
      </c>
    </row>
    <row r="77" spans="1:27">
      <c r="A77" s="14"/>
      <c r="B77" s="27"/>
      <c r="C77" s="168" t="s">
        <v>329</v>
      </c>
      <c r="D77" s="166" t="s">
        <v>249</v>
      </c>
      <c r="E77" s="29">
        <f t="shared" ref="E77" si="42">I77+M77+Q77+U77+Y77</f>
        <v>0</v>
      </c>
      <c r="F77" s="32"/>
      <c r="G77" s="32"/>
      <c r="H77" s="68"/>
      <c r="I77" s="161"/>
      <c r="J77" s="163"/>
      <c r="K77" s="163"/>
      <c r="L77" s="163"/>
      <c r="M77" s="161"/>
      <c r="N77" s="163"/>
      <c r="O77" s="163"/>
      <c r="P77" s="163"/>
      <c r="Q77" s="161"/>
      <c r="R77" s="163"/>
      <c r="S77" s="163"/>
      <c r="T77" s="163"/>
      <c r="U77" s="161"/>
      <c r="V77" s="163"/>
      <c r="W77" s="163"/>
      <c r="X77" s="163"/>
      <c r="Y77" s="161"/>
      <c r="Z77" s="163"/>
      <c r="AA77" s="163"/>
    </row>
    <row r="78" spans="1:27">
      <c r="A78" s="35"/>
      <c r="B78" s="27"/>
      <c r="C78" s="381" t="s">
        <v>921</v>
      </c>
      <c r="D78" s="166"/>
      <c r="E78" s="37"/>
      <c r="F78" s="33"/>
      <c r="G78" s="34"/>
      <c r="H78" s="68"/>
      <c r="I78" s="161"/>
      <c r="J78" s="163"/>
      <c r="K78" s="163"/>
      <c r="L78" s="163"/>
      <c r="M78" s="161"/>
      <c r="N78" s="163"/>
      <c r="O78" s="163"/>
      <c r="P78" s="163"/>
      <c r="Q78" s="161"/>
      <c r="R78" s="163"/>
      <c r="S78" s="163"/>
      <c r="T78" s="163"/>
      <c r="U78" s="161"/>
      <c r="V78" s="163"/>
      <c r="W78" s="163"/>
      <c r="X78" s="163"/>
      <c r="Y78" s="161"/>
      <c r="Z78" s="163"/>
      <c r="AA78" s="163"/>
    </row>
    <row r="79" spans="1:27" ht="37.5" customHeight="1">
      <c r="A79" s="35"/>
      <c r="B79" s="27"/>
      <c r="C79" s="375" t="s">
        <v>922</v>
      </c>
      <c r="D79" s="376" t="s">
        <v>69</v>
      </c>
      <c r="E79" s="382">
        <v>1</v>
      </c>
      <c r="F79" s="383">
        <v>342.23</v>
      </c>
      <c r="G79" s="367">
        <f t="shared" ref="G79" si="43">K79+O79+S79+W79+AA79</f>
        <v>342.23</v>
      </c>
      <c r="H79" s="68"/>
      <c r="I79" s="374">
        <v>1</v>
      </c>
      <c r="J79" s="384">
        <v>342.23</v>
      </c>
      <c r="K79" s="373">
        <f t="shared" ref="K79" si="44">I79*J79</f>
        <v>342.23</v>
      </c>
      <c r="L79" s="163"/>
      <c r="M79" s="161"/>
      <c r="N79" s="385"/>
      <c r="O79" s="385"/>
      <c r="P79" s="163"/>
      <c r="Q79" s="161"/>
      <c r="R79" s="385"/>
      <c r="S79" s="385"/>
      <c r="T79" s="163"/>
      <c r="U79" s="161"/>
      <c r="V79" s="385"/>
      <c r="W79" s="385"/>
      <c r="X79" s="163"/>
      <c r="Y79" s="161"/>
      <c r="Z79" s="385"/>
      <c r="AA79" s="385"/>
    </row>
    <row r="80" spans="1:27">
      <c r="A80" s="35"/>
      <c r="B80" s="27"/>
      <c r="C80" s="381"/>
      <c r="D80" s="166"/>
      <c r="E80" s="37"/>
      <c r="F80" s="33"/>
      <c r="G80" s="34"/>
      <c r="H80" s="68"/>
      <c r="I80" s="161"/>
      <c r="J80" s="385"/>
      <c r="K80" s="385"/>
      <c r="L80" s="163"/>
      <c r="M80" s="161"/>
      <c r="N80" s="385"/>
      <c r="O80" s="385"/>
      <c r="P80" s="163"/>
      <c r="Q80" s="161"/>
      <c r="R80" s="385"/>
      <c r="S80" s="385"/>
      <c r="T80" s="163"/>
      <c r="U80" s="161"/>
      <c r="V80" s="385"/>
      <c r="W80" s="385"/>
      <c r="X80" s="163"/>
      <c r="Y80" s="161"/>
      <c r="Z80" s="385"/>
      <c r="AA80" s="385"/>
    </row>
    <row r="81" spans="1:27">
      <c r="A81" s="35"/>
      <c r="B81" s="27"/>
      <c r="C81" s="172" t="s">
        <v>360</v>
      </c>
      <c r="D81" s="164"/>
      <c r="E81" s="29"/>
      <c r="F81" s="33" t="s">
        <v>10</v>
      </c>
      <c r="G81" s="34">
        <f>K81+O81+S81+W81+AA81</f>
        <v>342.23</v>
      </c>
      <c r="H81" s="68"/>
      <c r="I81" s="161"/>
      <c r="J81" s="33" t="s">
        <v>10</v>
      </c>
      <c r="K81" s="34">
        <f>SUM(K73:K80)</f>
        <v>342.23</v>
      </c>
      <c r="L81" s="163"/>
      <c r="M81" s="161"/>
      <c r="N81" s="33" t="s">
        <v>10</v>
      </c>
      <c r="O81" s="34">
        <f>SUM(O73:O80)</f>
        <v>0</v>
      </c>
      <c r="P81" s="163"/>
      <c r="Q81" s="161"/>
      <c r="R81" s="33" t="s">
        <v>10</v>
      </c>
      <c r="S81" s="34">
        <f>SUM(S73:S80)</f>
        <v>0</v>
      </c>
      <c r="T81" s="163"/>
      <c r="U81" s="161"/>
      <c r="V81" s="33" t="s">
        <v>10</v>
      </c>
      <c r="W81" s="34">
        <f>SUM(W73:W80)</f>
        <v>0</v>
      </c>
      <c r="X81" s="163"/>
      <c r="Y81" s="161"/>
      <c r="Z81" s="33" t="s">
        <v>10</v>
      </c>
      <c r="AA81" s="34">
        <f>SUM(AA73:AA80)</f>
        <v>0</v>
      </c>
    </row>
    <row r="82" spans="1:27">
      <c r="A82" s="35"/>
      <c r="B82" s="27"/>
      <c r="C82" s="168"/>
      <c r="D82" s="166"/>
      <c r="E82" s="37"/>
      <c r="F82" s="33"/>
      <c r="G82" s="34"/>
      <c r="H82" s="68"/>
      <c r="I82" s="161"/>
      <c r="J82" s="163"/>
      <c r="K82" s="163"/>
      <c r="L82" s="163"/>
      <c r="M82" s="161"/>
      <c r="N82" s="163"/>
      <c r="O82" s="163"/>
      <c r="P82" s="163"/>
      <c r="Q82" s="161"/>
      <c r="R82" s="163"/>
      <c r="S82" s="163"/>
      <c r="T82" s="163"/>
      <c r="U82" s="161"/>
      <c r="V82" s="163"/>
      <c r="W82" s="163"/>
      <c r="X82" s="163"/>
      <c r="Y82" s="161"/>
      <c r="Z82" s="163"/>
      <c r="AA82" s="163"/>
    </row>
    <row r="83" spans="1:27">
      <c r="A83" s="35"/>
      <c r="B83" s="62" t="s">
        <v>84</v>
      </c>
      <c r="C83" s="173" t="s">
        <v>359</v>
      </c>
      <c r="D83" s="174"/>
      <c r="E83" s="65"/>
      <c r="F83" s="66"/>
      <c r="G83" s="66"/>
      <c r="H83" s="64"/>
      <c r="I83" s="178"/>
      <c r="J83" s="180"/>
      <c r="K83" s="180"/>
      <c r="L83" s="180"/>
      <c r="M83" s="178"/>
      <c r="N83" s="180"/>
      <c r="O83" s="180"/>
      <c r="P83" s="180"/>
      <c r="Q83" s="178"/>
      <c r="R83" s="180"/>
      <c r="S83" s="180"/>
      <c r="T83" s="180"/>
      <c r="U83" s="178"/>
      <c r="V83" s="180"/>
      <c r="W83" s="180"/>
      <c r="X83" s="180"/>
      <c r="Y83" s="178"/>
      <c r="Z83" s="180"/>
      <c r="AA83" s="180"/>
    </row>
    <row r="84" spans="1:27">
      <c r="A84" s="35"/>
      <c r="B84" s="27"/>
      <c r="C84" s="168" t="s">
        <v>353</v>
      </c>
      <c r="D84" s="166" t="s">
        <v>69</v>
      </c>
      <c r="E84" s="372">
        <v>3</v>
      </c>
      <c r="F84" s="32">
        <v>1393.181</v>
      </c>
      <c r="G84" s="32">
        <f t="shared" ref="G84:G86" si="45">K84+O84+S84+W84+AA84</f>
        <v>4179.5429999999997</v>
      </c>
      <c r="H84" s="68"/>
      <c r="I84" s="374">
        <v>1</v>
      </c>
      <c r="J84" s="163">
        <v>1393.181</v>
      </c>
      <c r="K84" s="163">
        <f t="shared" ref="K84:K86" si="46">I84*J84</f>
        <v>1393.181</v>
      </c>
      <c r="L84" s="163"/>
      <c r="M84" s="161"/>
      <c r="N84" s="163"/>
      <c r="O84" s="163">
        <f t="shared" ref="O84:O86" si="47">M84*N84</f>
        <v>0</v>
      </c>
      <c r="P84" s="163"/>
      <c r="Q84" s="374">
        <v>2</v>
      </c>
      <c r="R84" s="373">
        <v>1393.181</v>
      </c>
      <c r="S84" s="373">
        <f t="shared" ref="S84:S86" si="48">Q84*R84</f>
        <v>2786.3620000000001</v>
      </c>
      <c r="T84" s="163"/>
      <c r="U84" s="161"/>
      <c r="V84" s="163"/>
      <c r="W84" s="163">
        <f t="shared" ref="W84:W86" si="49">U84*V84</f>
        <v>0</v>
      </c>
      <c r="X84" s="163"/>
      <c r="Y84" s="161"/>
      <c r="Z84" s="163"/>
      <c r="AA84" s="163">
        <f t="shared" ref="AA84:AA86" si="50">Y84*Z84</f>
        <v>0</v>
      </c>
    </row>
    <row r="85" spans="1:27">
      <c r="A85" s="35"/>
      <c r="B85" s="27"/>
      <c r="C85" s="168" t="s">
        <v>354</v>
      </c>
      <c r="D85" s="166" t="s">
        <v>69</v>
      </c>
      <c r="E85" s="372">
        <v>3</v>
      </c>
      <c r="F85" s="32">
        <v>853.04499999999996</v>
      </c>
      <c r="G85" s="32">
        <f t="shared" si="45"/>
        <v>2559.1349999999998</v>
      </c>
      <c r="H85" s="68"/>
      <c r="I85" s="161">
        <v>0</v>
      </c>
      <c r="J85" s="163"/>
      <c r="K85" s="163">
        <f t="shared" si="46"/>
        <v>0</v>
      </c>
      <c r="L85" s="163"/>
      <c r="M85" s="161"/>
      <c r="N85" s="163"/>
      <c r="O85" s="163">
        <f t="shared" si="47"/>
        <v>0</v>
      </c>
      <c r="P85" s="163"/>
      <c r="Q85" s="374">
        <v>1</v>
      </c>
      <c r="R85" s="367">
        <v>853.04499999999996</v>
      </c>
      <c r="S85" s="373">
        <f t="shared" si="48"/>
        <v>853.04499999999996</v>
      </c>
      <c r="T85" s="163"/>
      <c r="U85" s="374">
        <v>2</v>
      </c>
      <c r="V85" s="367">
        <v>853.04499999999996</v>
      </c>
      <c r="W85" s="373">
        <f t="shared" si="49"/>
        <v>1706.09</v>
      </c>
      <c r="X85" s="163"/>
      <c r="Y85" s="161"/>
      <c r="Z85" s="163"/>
      <c r="AA85" s="163">
        <f t="shared" si="50"/>
        <v>0</v>
      </c>
    </row>
    <row r="86" spans="1:27">
      <c r="A86" s="35"/>
      <c r="B86" s="27"/>
      <c r="C86" s="168" t="s">
        <v>355</v>
      </c>
      <c r="D86" s="166" t="s">
        <v>6</v>
      </c>
      <c r="E86" s="29">
        <f t="shared" ref="E86:E87" si="51">I86+M86+Q86+U86+Y86</f>
        <v>1</v>
      </c>
      <c r="F86" s="32">
        <v>416.56799999999998</v>
      </c>
      <c r="G86" s="32">
        <f t="shared" si="45"/>
        <v>416.56799999999998</v>
      </c>
      <c r="H86" s="68"/>
      <c r="I86" s="161">
        <v>1</v>
      </c>
      <c r="J86" s="163">
        <v>416.56799999999998</v>
      </c>
      <c r="K86" s="163">
        <f t="shared" si="46"/>
        <v>416.56799999999998</v>
      </c>
      <c r="L86" s="163"/>
      <c r="M86" s="161"/>
      <c r="N86" s="163"/>
      <c r="O86" s="163">
        <f t="shared" si="47"/>
        <v>0</v>
      </c>
      <c r="P86" s="163"/>
      <c r="Q86" s="161"/>
      <c r="R86" s="163"/>
      <c r="S86" s="163">
        <f t="shared" si="48"/>
        <v>0</v>
      </c>
      <c r="T86" s="163"/>
      <c r="U86" s="161"/>
      <c r="V86" s="163"/>
      <c r="W86" s="163">
        <f t="shared" si="49"/>
        <v>0</v>
      </c>
      <c r="X86" s="163"/>
      <c r="Y86" s="161"/>
      <c r="Z86" s="163"/>
      <c r="AA86" s="163">
        <f t="shared" si="50"/>
        <v>0</v>
      </c>
    </row>
    <row r="87" spans="1:27">
      <c r="A87" s="14"/>
      <c r="B87" s="27"/>
      <c r="C87" s="168" t="s">
        <v>329</v>
      </c>
      <c r="D87" s="166" t="s">
        <v>249</v>
      </c>
      <c r="E87" s="29">
        <f t="shared" si="51"/>
        <v>0</v>
      </c>
      <c r="F87" s="32"/>
      <c r="G87" s="32"/>
      <c r="H87" s="68"/>
      <c r="I87" s="161"/>
      <c r="J87" s="163"/>
      <c r="K87" s="163"/>
      <c r="L87" s="163"/>
      <c r="M87" s="161"/>
      <c r="N87" s="163"/>
      <c r="O87" s="163"/>
      <c r="P87" s="163"/>
      <c r="Q87" s="161"/>
      <c r="R87" s="163"/>
      <c r="S87" s="163"/>
      <c r="T87" s="163"/>
      <c r="U87" s="161"/>
      <c r="V87" s="163"/>
      <c r="W87" s="163"/>
      <c r="X87" s="163"/>
      <c r="Y87" s="161"/>
      <c r="Z87" s="163"/>
      <c r="AA87" s="163"/>
    </row>
    <row r="88" spans="1:27">
      <c r="A88" s="35"/>
      <c r="B88" s="27"/>
      <c r="C88" s="168"/>
      <c r="D88" s="166"/>
      <c r="E88" s="37"/>
      <c r="F88" s="33"/>
      <c r="G88" s="34"/>
      <c r="H88" s="68"/>
      <c r="I88" s="161"/>
      <c r="J88" s="163"/>
      <c r="K88" s="163"/>
      <c r="L88" s="163"/>
      <c r="M88" s="161"/>
      <c r="N88" s="163"/>
      <c r="O88" s="163"/>
      <c r="P88" s="163"/>
      <c r="Q88" s="161"/>
      <c r="R88" s="163"/>
      <c r="S88" s="163"/>
      <c r="T88" s="163"/>
      <c r="U88" s="161"/>
      <c r="V88" s="163"/>
      <c r="W88" s="163"/>
      <c r="X88" s="163"/>
      <c r="Y88" s="161"/>
      <c r="Z88" s="163"/>
      <c r="AA88" s="163"/>
    </row>
    <row r="89" spans="1:27">
      <c r="A89" s="35"/>
      <c r="B89" s="27"/>
      <c r="C89" s="172" t="s">
        <v>360</v>
      </c>
      <c r="D89" s="164"/>
      <c r="E89" s="29"/>
      <c r="F89" s="33" t="s">
        <v>10</v>
      </c>
      <c r="G89" s="34">
        <f>K89+O89+S89+W89+AA89</f>
        <v>7155.2460000000001</v>
      </c>
      <c r="H89" s="68"/>
      <c r="I89" s="161"/>
      <c r="J89" s="33" t="s">
        <v>10</v>
      </c>
      <c r="K89" s="34">
        <f>SUM(K83:K88)</f>
        <v>1809.749</v>
      </c>
      <c r="L89" s="163"/>
      <c r="M89" s="161"/>
      <c r="N89" s="33" t="s">
        <v>10</v>
      </c>
      <c r="O89" s="34">
        <f>SUM(O83:O88)</f>
        <v>0</v>
      </c>
      <c r="P89" s="163"/>
      <c r="Q89" s="161"/>
      <c r="R89" s="33" t="s">
        <v>10</v>
      </c>
      <c r="S89" s="34">
        <f>SUM(S83:S88)</f>
        <v>3639.4070000000002</v>
      </c>
      <c r="T89" s="163"/>
      <c r="U89" s="161"/>
      <c r="V89" s="33" t="s">
        <v>10</v>
      </c>
      <c r="W89" s="34">
        <f>SUM(W83:W88)</f>
        <v>1706.09</v>
      </c>
      <c r="X89" s="163"/>
      <c r="Y89" s="161"/>
      <c r="Z89" s="33" t="s">
        <v>10</v>
      </c>
      <c r="AA89" s="34">
        <f>SUM(AA83:AA88)</f>
        <v>0</v>
      </c>
    </row>
    <row r="90" spans="1:27">
      <c r="A90" s="35"/>
      <c r="B90" s="27"/>
      <c r="C90" s="168"/>
      <c r="D90" s="166"/>
      <c r="E90" s="37"/>
      <c r="F90" s="33"/>
      <c r="G90" s="34"/>
      <c r="H90" s="68"/>
      <c r="I90" s="161"/>
      <c r="J90" s="163"/>
      <c r="K90" s="163"/>
      <c r="L90" s="163"/>
      <c r="M90" s="161"/>
      <c r="N90" s="163"/>
      <c r="O90" s="163"/>
      <c r="P90" s="163"/>
      <c r="Q90" s="161"/>
      <c r="R90" s="163"/>
      <c r="S90" s="163"/>
      <c r="T90" s="163"/>
      <c r="U90" s="161"/>
      <c r="V90" s="163"/>
      <c r="W90" s="163"/>
      <c r="X90" s="163"/>
      <c r="Y90" s="161"/>
      <c r="Z90" s="163"/>
      <c r="AA90" s="163"/>
    </row>
    <row r="91" spans="1:27">
      <c r="A91" s="35"/>
      <c r="B91" s="62" t="s">
        <v>85</v>
      </c>
      <c r="C91" s="173" t="s">
        <v>358</v>
      </c>
      <c r="D91" s="174"/>
      <c r="E91" s="65"/>
      <c r="F91" s="66"/>
      <c r="G91" s="66"/>
      <c r="H91" s="64"/>
      <c r="I91" s="178"/>
      <c r="J91" s="180"/>
      <c r="K91" s="180"/>
      <c r="L91" s="180"/>
      <c r="M91" s="178"/>
      <c r="N91" s="180"/>
      <c r="O91" s="180"/>
      <c r="P91" s="180"/>
      <c r="Q91" s="178"/>
      <c r="R91" s="180"/>
      <c r="S91" s="180"/>
      <c r="T91" s="180"/>
      <c r="U91" s="178"/>
      <c r="V91" s="180"/>
      <c r="W91" s="180"/>
      <c r="X91" s="180"/>
      <c r="Y91" s="178"/>
      <c r="Z91" s="180"/>
      <c r="AA91" s="180"/>
    </row>
    <row r="92" spans="1:27">
      <c r="A92" s="35"/>
      <c r="B92" s="27"/>
      <c r="C92" s="168" t="s">
        <v>881</v>
      </c>
      <c r="D92" s="166" t="s">
        <v>6</v>
      </c>
      <c r="E92" s="29">
        <f t="shared" ref="E92" si="52">I92+M92+Q92+U92+Y92</f>
        <v>2</v>
      </c>
      <c r="F92" s="32">
        <v>106.95699999999999</v>
      </c>
      <c r="G92" s="32">
        <f t="shared" ref="G92:G94" si="53">K92+O92+S92+W92+AA92</f>
        <v>213.91399999999999</v>
      </c>
      <c r="H92" s="68"/>
      <c r="I92" s="161">
        <v>2</v>
      </c>
      <c r="J92" s="163">
        <v>106.95699999999999</v>
      </c>
      <c r="K92" s="163">
        <f>I92*J92</f>
        <v>213.91399999999999</v>
      </c>
      <c r="L92" s="163"/>
      <c r="M92" s="161"/>
      <c r="N92" s="163"/>
      <c r="O92" s="163">
        <f>M92*N92</f>
        <v>0</v>
      </c>
      <c r="P92" s="163"/>
      <c r="Q92" s="161"/>
      <c r="R92" s="163"/>
      <c r="S92" s="163">
        <f>Q92*R92</f>
        <v>0</v>
      </c>
      <c r="T92" s="163"/>
      <c r="U92" s="161"/>
      <c r="V92" s="163"/>
      <c r="W92" s="163">
        <f>U92*V92</f>
        <v>0</v>
      </c>
      <c r="X92" s="163"/>
      <c r="Y92" s="161"/>
      <c r="Z92" s="163"/>
      <c r="AA92" s="163">
        <f>Y92*Z92</f>
        <v>0</v>
      </c>
    </row>
    <row r="93" spans="1:27">
      <c r="A93" s="35"/>
      <c r="B93" s="27"/>
      <c r="C93" s="168" t="s">
        <v>882</v>
      </c>
      <c r="D93" s="166" t="s">
        <v>6</v>
      </c>
      <c r="E93" s="372">
        <v>3</v>
      </c>
      <c r="F93" s="32">
        <v>204.57400000000001</v>
      </c>
      <c r="G93" s="32">
        <f t="shared" si="53"/>
        <v>613.72199999999998</v>
      </c>
      <c r="H93" s="68"/>
      <c r="I93" s="374">
        <v>3</v>
      </c>
      <c r="J93" s="163">
        <v>204.57400000000001</v>
      </c>
      <c r="K93" s="163">
        <f>I93*J93</f>
        <v>613.72199999999998</v>
      </c>
      <c r="L93" s="163"/>
      <c r="M93" s="161"/>
      <c r="N93" s="163"/>
      <c r="O93" s="163">
        <f>M93*N93</f>
        <v>0</v>
      </c>
      <c r="P93" s="163"/>
      <c r="Q93" s="161"/>
      <c r="R93" s="163"/>
      <c r="S93" s="163">
        <f>Q93*R93</f>
        <v>0</v>
      </c>
      <c r="T93" s="163"/>
      <c r="U93" s="161"/>
      <c r="V93" s="163"/>
      <c r="W93" s="163">
        <f>U93*V93</f>
        <v>0</v>
      </c>
      <c r="X93" s="163"/>
      <c r="Y93" s="161"/>
      <c r="Z93" s="163"/>
      <c r="AA93" s="163">
        <f>Y93*Z93</f>
        <v>0</v>
      </c>
    </row>
    <row r="94" spans="1:27">
      <c r="A94" s="35"/>
      <c r="B94" s="27"/>
      <c r="C94" s="168" t="s">
        <v>883</v>
      </c>
      <c r="D94" s="166" t="s">
        <v>6</v>
      </c>
      <c r="E94" s="29">
        <f t="shared" ref="E94" si="54">I94+M94+Q94+U94+Y94</f>
        <v>10</v>
      </c>
      <c r="F94" s="32">
        <v>204.57300000000001</v>
      </c>
      <c r="G94" s="32">
        <f t="shared" si="53"/>
        <v>2045.73</v>
      </c>
      <c r="H94" s="68"/>
      <c r="I94" s="161"/>
      <c r="J94" s="163"/>
      <c r="K94" s="163">
        <f>I94*J94</f>
        <v>0</v>
      </c>
      <c r="L94" s="163"/>
      <c r="M94" s="161"/>
      <c r="N94" s="163"/>
      <c r="O94" s="163">
        <f>M94*N94</f>
        <v>0</v>
      </c>
      <c r="P94" s="163"/>
      <c r="Q94" s="161">
        <v>10</v>
      </c>
      <c r="R94" s="163">
        <v>204.57300000000001</v>
      </c>
      <c r="S94" s="163">
        <f>Q94*R94</f>
        <v>2045.73</v>
      </c>
      <c r="T94" s="163"/>
      <c r="U94" s="161"/>
      <c r="V94" s="163"/>
      <c r="W94" s="163">
        <f>U94*V94</f>
        <v>0</v>
      </c>
      <c r="X94" s="163"/>
      <c r="Y94" s="161"/>
      <c r="Z94" s="163"/>
      <c r="AA94" s="163">
        <f>Y94*Z94</f>
        <v>0</v>
      </c>
    </row>
    <row r="95" spans="1:27">
      <c r="A95" s="35"/>
      <c r="B95" s="27"/>
      <c r="C95" s="168" t="s">
        <v>356</v>
      </c>
      <c r="D95" s="166" t="s">
        <v>249</v>
      </c>
      <c r="E95" s="29"/>
      <c r="F95" s="32"/>
      <c r="G95" s="32"/>
      <c r="H95" s="68"/>
      <c r="I95" s="161"/>
      <c r="J95" s="163"/>
      <c r="K95" s="163"/>
      <c r="L95" s="163"/>
      <c r="M95" s="161"/>
      <c r="N95" s="163"/>
      <c r="O95" s="163"/>
      <c r="P95" s="163"/>
      <c r="Q95" s="161"/>
      <c r="R95" s="163"/>
      <c r="S95" s="163"/>
      <c r="T95" s="163"/>
      <c r="U95" s="161"/>
      <c r="V95" s="163"/>
      <c r="W95" s="163"/>
      <c r="X95" s="163"/>
      <c r="Y95" s="161"/>
      <c r="Z95" s="163"/>
      <c r="AA95" s="163"/>
    </row>
    <row r="96" spans="1:27">
      <c r="A96" s="35"/>
      <c r="B96" s="27"/>
      <c r="C96" s="168"/>
      <c r="D96" s="166"/>
      <c r="E96" s="37"/>
      <c r="F96" s="33"/>
      <c r="G96" s="34"/>
      <c r="H96" s="68"/>
      <c r="I96" s="37"/>
      <c r="J96" s="33"/>
      <c r="K96" s="34"/>
      <c r="M96" s="185"/>
      <c r="N96" s="33"/>
      <c r="O96" s="34"/>
      <c r="Q96" s="185"/>
      <c r="R96" s="33"/>
      <c r="S96" s="34"/>
      <c r="U96" s="185"/>
      <c r="V96" s="33"/>
      <c r="W96" s="34"/>
      <c r="Y96" s="185"/>
      <c r="Z96" s="33"/>
      <c r="AA96" s="34"/>
    </row>
    <row r="97" spans="1:27">
      <c r="A97" s="35"/>
      <c r="B97" s="27"/>
      <c r="C97" s="172" t="s">
        <v>884</v>
      </c>
      <c r="D97" s="164"/>
      <c r="E97" s="29"/>
      <c r="F97" s="33" t="s">
        <v>10</v>
      </c>
      <c r="G97" s="34">
        <f>K97+O97+S97+W97+AA97</f>
        <v>2873.366</v>
      </c>
      <c r="H97" s="68"/>
      <c r="I97" s="37"/>
      <c r="J97" s="33" t="s">
        <v>10</v>
      </c>
      <c r="K97" s="34">
        <f>SUM(K91:K96)</f>
        <v>827.63599999999997</v>
      </c>
      <c r="M97" s="185"/>
      <c r="N97" s="33" t="s">
        <v>10</v>
      </c>
      <c r="O97" s="34">
        <f>SUM(O91:O96)</f>
        <v>0</v>
      </c>
      <c r="Q97" s="185"/>
      <c r="R97" s="33" t="s">
        <v>10</v>
      </c>
      <c r="S97" s="34">
        <f>SUM(S91:S96)</f>
        <v>2045.73</v>
      </c>
      <c r="U97" s="185"/>
      <c r="V97" s="33" t="s">
        <v>10</v>
      </c>
      <c r="W97" s="34">
        <f>SUM(W91:W96)</f>
        <v>0</v>
      </c>
      <c r="Y97" s="185"/>
      <c r="Z97" s="33" t="s">
        <v>10</v>
      </c>
      <c r="AA97" s="34">
        <f>SUM(AA91:AA96)</f>
        <v>0</v>
      </c>
    </row>
    <row r="98" spans="1:27">
      <c r="A98" s="35"/>
      <c r="B98" s="27"/>
      <c r="C98" s="36"/>
      <c r="D98" s="68"/>
      <c r="E98" s="37"/>
      <c r="F98" s="33"/>
      <c r="G98" s="34"/>
      <c r="H98" s="68"/>
      <c r="I98" s="37"/>
      <c r="J98" s="33"/>
      <c r="K98" s="34"/>
      <c r="M98" s="185"/>
      <c r="N98" s="33"/>
      <c r="O98" s="34"/>
      <c r="Q98" s="185"/>
      <c r="R98" s="33"/>
      <c r="S98" s="34"/>
      <c r="U98" s="185"/>
      <c r="V98" s="33"/>
      <c r="W98" s="34"/>
      <c r="Y98" s="185"/>
      <c r="Z98" s="33"/>
      <c r="AA98" s="34"/>
    </row>
    <row r="99" spans="1:27">
      <c r="A99" s="14"/>
      <c r="B99" s="31"/>
      <c r="C99" s="38"/>
      <c r="D99" s="69"/>
      <c r="E99" s="37"/>
      <c r="F99" s="30"/>
      <c r="G99" s="34"/>
      <c r="H99" s="69"/>
      <c r="I99" s="37"/>
      <c r="J99" s="30"/>
      <c r="K99" s="34"/>
      <c r="M99" s="185"/>
      <c r="N99" s="30"/>
      <c r="O99" s="34"/>
      <c r="Q99" s="185"/>
      <c r="R99" s="30"/>
      <c r="S99" s="34"/>
      <c r="U99" s="185"/>
      <c r="V99" s="30"/>
      <c r="W99" s="34"/>
      <c r="Y99" s="185"/>
      <c r="Z99" s="30"/>
      <c r="AA99" s="34"/>
    </row>
    <row r="100" spans="1:27" ht="6" customHeight="1">
      <c r="A100" s="70"/>
      <c r="B100" s="41"/>
      <c r="C100" s="42"/>
      <c r="D100" s="41"/>
      <c r="E100" s="41"/>
      <c r="F100" s="44"/>
      <c r="G100" s="44"/>
      <c r="H100" s="41"/>
      <c r="I100" s="43"/>
      <c r="J100" s="44"/>
      <c r="K100" s="44"/>
      <c r="L100" s="41"/>
      <c r="M100" s="186"/>
      <c r="N100" s="44"/>
      <c r="O100" s="44"/>
      <c r="P100" s="41"/>
      <c r="Q100" s="186"/>
      <c r="R100" s="44"/>
      <c r="S100" s="44"/>
      <c r="T100" s="41"/>
      <c r="U100" s="186"/>
      <c r="V100" s="44"/>
      <c r="W100" s="44"/>
      <c r="X100" s="41"/>
      <c r="Y100" s="186"/>
      <c r="Z100" s="44"/>
      <c r="AA100" s="44"/>
    </row>
    <row r="101" spans="1:27" s="56" customFormat="1">
      <c r="A101" s="71"/>
      <c r="B101" s="72"/>
      <c r="C101" s="53" t="s">
        <v>7</v>
      </c>
      <c r="D101" s="52"/>
      <c r="E101" s="52"/>
      <c r="F101" s="55"/>
      <c r="G101" s="417">
        <f>K101+O101+S101+W101+AA101</f>
        <v>122000.00400000002</v>
      </c>
      <c r="H101" s="52"/>
      <c r="I101" s="54"/>
      <c r="J101" s="55"/>
      <c r="K101" s="55">
        <f>K14+K44+K59+K71+K81+K89+K97</f>
        <v>30339.9548</v>
      </c>
      <c r="L101" s="52"/>
      <c r="M101" s="187"/>
      <c r="N101" s="55"/>
      <c r="O101" s="55">
        <f>O14+O44+O59+O71+O81+O89+O97</f>
        <v>7458.9968000000008</v>
      </c>
      <c r="P101" s="52"/>
      <c r="Q101" s="187"/>
      <c r="R101" s="55"/>
      <c r="S101" s="55">
        <f>S14+S44+S59+S71+S81+S89+S97</f>
        <v>41530.880800000006</v>
      </c>
      <c r="T101" s="52"/>
      <c r="U101" s="187"/>
      <c r="V101" s="55"/>
      <c r="W101" s="55">
        <f>W14+W44+W59+W71+W81+W89+W97</f>
        <v>28022.910799999998</v>
      </c>
      <c r="X101" s="52"/>
      <c r="Y101" s="187"/>
      <c r="Z101" s="55"/>
      <c r="AA101" s="55">
        <f>AA14+AA44+AA59+AA71+AA81+AA89+AA97</f>
        <v>14647.260799999998</v>
      </c>
    </row>
    <row r="102" spans="1:27" s="56" customFormat="1">
      <c r="A102" s="71"/>
      <c r="B102" s="72"/>
      <c r="C102" s="53" t="s">
        <v>8</v>
      </c>
      <c r="D102" s="52"/>
      <c r="E102" s="52"/>
      <c r="F102" s="55"/>
      <c r="G102" s="55">
        <f>G101*0.2</f>
        <v>24400.000800000005</v>
      </c>
      <c r="H102" s="52"/>
      <c r="I102" s="54"/>
      <c r="J102" s="55"/>
      <c r="K102" s="55">
        <f>K101*0.2</f>
        <v>6067.9909600000001</v>
      </c>
      <c r="L102" s="52"/>
      <c r="M102" s="187"/>
      <c r="N102" s="55"/>
      <c r="O102" s="55">
        <f>O101*0.2</f>
        <v>1491.7993600000002</v>
      </c>
      <c r="P102" s="52"/>
      <c r="Q102" s="187"/>
      <c r="R102" s="55"/>
      <c r="S102" s="55">
        <f>S101*0.2</f>
        <v>8306.1761600000009</v>
      </c>
      <c r="T102" s="52"/>
      <c r="U102" s="187"/>
      <c r="V102" s="55"/>
      <c r="W102" s="55">
        <f>W101*0.2</f>
        <v>5604.5821599999999</v>
      </c>
      <c r="X102" s="52"/>
      <c r="Y102" s="187"/>
      <c r="Z102" s="55"/>
      <c r="AA102" s="55">
        <f>AA101*0.2</f>
        <v>2929.4521599999998</v>
      </c>
    </row>
    <row r="103" spans="1:27" s="56" customFormat="1">
      <c r="A103" s="71"/>
      <c r="B103" s="72"/>
      <c r="C103" s="53" t="s">
        <v>9</v>
      </c>
      <c r="D103" s="52"/>
      <c r="E103" s="52"/>
      <c r="F103" s="55"/>
      <c r="G103" s="55">
        <f>G102+G101</f>
        <v>146400.00480000002</v>
      </c>
      <c r="H103" s="52"/>
      <c r="I103" s="54"/>
      <c r="J103" s="55"/>
      <c r="K103" s="55">
        <f>K102+K101</f>
        <v>36407.945760000002</v>
      </c>
      <c r="L103" s="52"/>
      <c r="M103" s="187"/>
      <c r="N103" s="55"/>
      <c r="O103" s="55">
        <f>O102+O101</f>
        <v>8950.7961600000017</v>
      </c>
      <c r="P103" s="52"/>
      <c r="Q103" s="187"/>
      <c r="R103" s="55"/>
      <c r="S103" s="55">
        <f>S102+S101</f>
        <v>49837.056960000009</v>
      </c>
      <c r="T103" s="52"/>
      <c r="U103" s="187"/>
      <c r="V103" s="55"/>
      <c r="W103" s="55">
        <f>W102+W101</f>
        <v>33627.492959999996</v>
      </c>
      <c r="X103" s="52"/>
      <c r="Y103" s="187"/>
      <c r="Z103" s="55"/>
      <c r="AA103" s="55">
        <f>AA102+AA101</f>
        <v>17576.712959999997</v>
      </c>
    </row>
    <row r="104" spans="1:27" ht="6.6" customHeight="1">
      <c r="A104" s="73"/>
      <c r="B104" s="74"/>
      <c r="C104" s="45"/>
      <c r="D104" s="46"/>
      <c r="E104" s="51"/>
      <c r="F104" s="48"/>
      <c r="G104" s="48"/>
      <c r="H104" s="46"/>
      <c r="I104" s="47"/>
      <c r="J104" s="48"/>
      <c r="K104" s="48"/>
      <c r="L104" s="49"/>
      <c r="M104" s="188"/>
      <c r="N104" s="48"/>
      <c r="O104" s="48"/>
      <c r="P104" s="49"/>
      <c r="Q104" s="188"/>
      <c r="R104" s="48"/>
      <c r="S104" s="48"/>
      <c r="T104" s="49"/>
      <c r="U104" s="188"/>
      <c r="V104" s="48"/>
      <c r="W104" s="48"/>
      <c r="X104" s="49"/>
      <c r="Y104" s="188"/>
      <c r="Z104" s="48"/>
      <c r="AA104" s="48"/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305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A1:AE18"/>
  <sheetViews>
    <sheetView showGridLines="0" view="pageBreakPreview" zoomScale="70" zoomScaleNormal="85" zoomScaleSheetLayoutView="70" workbookViewId="0">
      <pane ySplit="5" topLeftCell="A6" activePane="bottomLeft" state="frozen"/>
      <selection activeCell="AA158" sqref="AA158"/>
      <selection pane="bottomLeft" activeCell="V43" sqref="V43"/>
    </sheetView>
  </sheetViews>
  <sheetFormatPr baseColWidth="10" defaultColWidth="11.44140625" defaultRowHeight="14.4"/>
  <cols>
    <col min="1" max="1" width="3.33203125" style="2" customWidth="1"/>
    <col min="2" max="2" width="2.6640625" style="3" bestFit="1" customWidth="1"/>
    <col min="3" max="3" width="59.109375" style="24" customWidth="1"/>
    <col min="4" max="4" width="4.5546875" style="1" bestFit="1" customWidth="1"/>
    <col min="5" max="5" width="7.88671875" style="1" customWidth="1"/>
    <col min="6" max="6" width="12" style="1" bestFit="1" customWidth="1"/>
    <col min="7" max="7" width="14.5546875" style="1" bestFit="1" customWidth="1"/>
    <col min="8" max="8" width="2.6640625" style="1" customWidth="1"/>
    <col min="9" max="9" width="7.5546875" style="1" bestFit="1" customWidth="1"/>
    <col min="10" max="10" width="14.6640625" style="1" bestFit="1" customWidth="1"/>
    <col min="11" max="11" width="14.5546875" style="1" customWidth="1"/>
    <col min="12" max="12" width="2.6640625" style="1" customWidth="1"/>
    <col min="13" max="13" width="7.5546875" style="1" bestFit="1" customWidth="1"/>
    <col min="14" max="14" width="11.44140625" style="1" bestFit="1" customWidth="1"/>
    <col min="15" max="15" width="14.44140625" style="1" bestFit="1" customWidth="1"/>
    <col min="16" max="16" width="2.6640625" style="1" customWidth="1"/>
    <col min="17" max="17" width="7.5546875" style="1" bestFit="1" customWidth="1"/>
    <col min="18" max="18" width="11.44140625" style="1" bestFit="1" customWidth="1"/>
    <col min="19" max="19" width="14.44140625" style="1" bestFit="1" customWidth="1"/>
    <col min="20" max="20" width="2.6640625" style="1" customWidth="1"/>
    <col min="21" max="21" width="7.5546875" style="1" bestFit="1" customWidth="1"/>
    <col min="22" max="22" width="11.44140625" style="1" bestFit="1" customWidth="1"/>
    <col min="23" max="23" width="14.44140625" style="1" bestFit="1" customWidth="1"/>
    <col min="24" max="24" width="2.6640625" style="1" customWidth="1"/>
    <col min="25" max="25" width="7.5546875" style="1" bestFit="1" customWidth="1"/>
    <col min="26" max="26" width="11.44140625" style="1" bestFit="1" customWidth="1"/>
    <col min="27" max="27" width="14.44140625" style="1" bestFit="1" customWidth="1"/>
    <col min="28" max="28" width="14.5546875" style="1" bestFit="1" customWidth="1"/>
    <col min="29" max="29" width="12.109375" style="1" bestFit="1" customWidth="1"/>
    <col min="30" max="30" width="11.44140625" style="1"/>
    <col min="31" max="31" width="15" style="1" customWidth="1"/>
    <col min="32" max="16384" width="11.44140625" style="1"/>
  </cols>
  <sheetData>
    <row r="1" spans="1:31" ht="23.25" customHeight="1">
      <c r="A1" s="566" t="s">
        <v>389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8"/>
    </row>
    <row r="2" spans="1:31" ht="8.4" customHeight="1">
      <c r="A2" s="15"/>
      <c r="C2" s="3"/>
      <c r="D2" s="3"/>
      <c r="E2" s="3"/>
      <c r="F2" s="3"/>
      <c r="G2" s="2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23"/>
    </row>
    <row r="3" spans="1:31" ht="19.5" customHeight="1">
      <c r="A3" s="16"/>
      <c r="C3" s="203" t="str">
        <f>'Page de garde'!C15</f>
        <v>IND 00 du 10/06/2025</v>
      </c>
      <c r="E3" s="569" t="s">
        <v>12</v>
      </c>
      <c r="F3" s="570"/>
      <c r="G3" s="571"/>
      <c r="I3" s="572" t="s">
        <v>30</v>
      </c>
      <c r="J3" s="573"/>
      <c r="K3" s="574"/>
      <c r="M3" s="572" t="s">
        <v>31</v>
      </c>
      <c r="N3" s="573"/>
      <c r="O3" s="574"/>
      <c r="Q3" s="572" t="s">
        <v>33</v>
      </c>
      <c r="R3" s="573"/>
      <c r="S3" s="574"/>
      <c r="U3" s="572" t="s">
        <v>34</v>
      </c>
      <c r="V3" s="573"/>
      <c r="W3" s="574"/>
      <c r="Y3" s="572" t="s">
        <v>35</v>
      </c>
      <c r="Z3" s="573"/>
      <c r="AA3" s="574"/>
    </row>
    <row r="4" spans="1:31" ht="19.5" customHeight="1">
      <c r="A4" s="16"/>
      <c r="E4" s="76"/>
      <c r="F4" s="77"/>
      <c r="G4" s="78" t="s">
        <v>11</v>
      </c>
      <c r="I4" s="57"/>
      <c r="J4" s="58"/>
      <c r="K4" s="59" t="s">
        <v>11</v>
      </c>
      <c r="M4" s="60"/>
      <c r="N4" s="58"/>
      <c r="O4" s="59" t="s">
        <v>11</v>
      </c>
      <c r="Q4" s="60"/>
      <c r="R4" s="58"/>
      <c r="S4" s="59" t="s">
        <v>11</v>
      </c>
      <c r="U4" s="60"/>
      <c r="V4" s="58"/>
      <c r="W4" s="59" t="s">
        <v>11</v>
      </c>
      <c r="Y4" s="60"/>
      <c r="Z4" s="58"/>
      <c r="AA4" s="59" t="s">
        <v>11</v>
      </c>
    </row>
    <row r="5" spans="1:31" s="17" customFormat="1" ht="24">
      <c r="A5" s="565" t="s">
        <v>1</v>
      </c>
      <c r="B5" s="565"/>
      <c r="C5" s="25" t="s">
        <v>2</v>
      </c>
      <c r="D5" s="18" t="s">
        <v>0</v>
      </c>
      <c r="E5" s="79" t="s">
        <v>3</v>
      </c>
      <c r="F5" s="79" t="s">
        <v>4</v>
      </c>
      <c r="G5" s="79" t="s">
        <v>5</v>
      </c>
      <c r="H5" s="18"/>
      <c r="I5" s="19" t="s">
        <v>3</v>
      </c>
      <c r="J5" s="19" t="s">
        <v>4</v>
      </c>
      <c r="K5" s="19" t="s">
        <v>5</v>
      </c>
      <c r="L5" s="20"/>
      <c r="M5" s="19" t="s">
        <v>3</v>
      </c>
      <c r="N5" s="19" t="s">
        <v>4</v>
      </c>
      <c r="O5" s="19" t="s">
        <v>5</v>
      </c>
      <c r="P5" s="20"/>
      <c r="Q5" s="19" t="s">
        <v>3</v>
      </c>
      <c r="R5" s="19" t="s">
        <v>4</v>
      </c>
      <c r="S5" s="19" t="s">
        <v>5</v>
      </c>
      <c r="T5" s="20"/>
      <c r="U5" s="19" t="s">
        <v>3</v>
      </c>
      <c r="V5" s="19" t="s">
        <v>4</v>
      </c>
      <c r="W5" s="19" t="s">
        <v>5</v>
      </c>
      <c r="X5" s="20"/>
      <c r="Y5" s="19" t="s">
        <v>3</v>
      </c>
      <c r="Z5" s="19" t="s">
        <v>4</v>
      </c>
      <c r="AA5" s="19" t="s">
        <v>5</v>
      </c>
    </row>
    <row r="6" spans="1:31">
      <c r="A6" s="61"/>
      <c r="B6" s="62" t="s">
        <v>19</v>
      </c>
      <c r="C6" s="63" t="s">
        <v>57</v>
      </c>
      <c r="D6" s="64"/>
      <c r="E6" s="65"/>
      <c r="F6" s="66"/>
      <c r="G6" s="66"/>
      <c r="H6" s="64"/>
      <c r="I6" s="65"/>
      <c r="J6" s="66"/>
      <c r="K6" s="66"/>
      <c r="L6" s="26"/>
      <c r="M6" s="65"/>
      <c r="N6" s="66"/>
      <c r="O6" s="66"/>
      <c r="P6" s="26"/>
      <c r="Q6" s="65"/>
      <c r="R6" s="66"/>
      <c r="S6" s="66"/>
      <c r="T6" s="26"/>
      <c r="U6" s="65"/>
      <c r="V6" s="66"/>
      <c r="W6" s="66"/>
      <c r="X6" s="26"/>
      <c r="Y6" s="65"/>
      <c r="Z6" s="66"/>
      <c r="AA6" s="66"/>
    </row>
    <row r="7" spans="1:31">
      <c r="A7" s="14"/>
      <c r="B7" s="31"/>
      <c r="C7" s="28" t="s">
        <v>390</v>
      </c>
      <c r="D7" s="67" t="s">
        <v>6</v>
      </c>
      <c r="E7" s="29">
        <f>I7+M7+Q7+U7+Y7</f>
        <v>5</v>
      </c>
      <c r="F7" s="32"/>
      <c r="G7" s="32">
        <f>K7+O7+S7+W7+AA7</f>
        <v>15760</v>
      </c>
      <c r="H7" s="67"/>
      <c r="I7" s="39">
        <v>1</v>
      </c>
      <c r="J7" s="40">
        <v>2120</v>
      </c>
      <c r="K7" s="32">
        <f>I7*J7</f>
        <v>2120</v>
      </c>
      <c r="M7" s="39">
        <v>1</v>
      </c>
      <c r="N7" s="40">
        <v>3760</v>
      </c>
      <c r="O7" s="32">
        <f>M7*N7</f>
        <v>3760</v>
      </c>
      <c r="Q7" s="39">
        <v>1</v>
      </c>
      <c r="R7" s="40">
        <v>4800</v>
      </c>
      <c r="S7" s="32">
        <f>Q7*R7</f>
        <v>4800</v>
      </c>
      <c r="U7" s="39">
        <v>1</v>
      </c>
      <c r="V7" s="40">
        <v>4640</v>
      </c>
      <c r="W7" s="32">
        <f>U7*V7</f>
        <v>4640</v>
      </c>
      <c r="Y7" s="39">
        <v>1</v>
      </c>
      <c r="Z7" s="40">
        <v>440</v>
      </c>
      <c r="AA7" s="32">
        <f>Y7*Z7</f>
        <v>440</v>
      </c>
      <c r="AC7" s="22"/>
      <c r="AD7" s="22"/>
      <c r="AE7" s="22"/>
    </row>
    <row r="8" spans="1:31">
      <c r="A8" s="14"/>
      <c r="B8" s="31"/>
      <c r="C8" s="28" t="s">
        <v>391</v>
      </c>
      <c r="D8" s="67" t="s">
        <v>392</v>
      </c>
      <c r="E8" s="29">
        <f>I8+M8+Q8+U8+Y8</f>
        <v>0</v>
      </c>
      <c r="F8" s="32">
        <v>600</v>
      </c>
      <c r="G8" s="32">
        <f>K8+O8+S8+W8+AA8</f>
        <v>0</v>
      </c>
      <c r="H8" s="67"/>
      <c r="I8" s="39">
        <v>0</v>
      </c>
      <c r="J8" s="40">
        <v>600</v>
      </c>
      <c r="K8" s="32">
        <f>I8*J8</f>
        <v>0</v>
      </c>
      <c r="M8" s="39">
        <v>0</v>
      </c>
      <c r="N8" s="40">
        <v>600</v>
      </c>
      <c r="O8" s="32">
        <f>M8*N8</f>
        <v>0</v>
      </c>
      <c r="Q8" s="39">
        <v>0</v>
      </c>
      <c r="R8" s="40">
        <v>600</v>
      </c>
      <c r="S8" s="32">
        <f>Q8*R8</f>
        <v>0</v>
      </c>
      <c r="U8" s="39">
        <v>0</v>
      </c>
      <c r="V8" s="40">
        <v>600</v>
      </c>
      <c r="W8" s="32">
        <f>U8*V8</f>
        <v>0</v>
      </c>
      <c r="Y8" s="39">
        <v>0</v>
      </c>
      <c r="Z8" s="40">
        <v>600</v>
      </c>
      <c r="AA8" s="32">
        <f>Y8*Z8</f>
        <v>0</v>
      </c>
      <c r="AC8" s="22"/>
      <c r="AD8" s="22"/>
      <c r="AE8" s="22"/>
    </row>
    <row r="9" spans="1:31">
      <c r="A9" s="14"/>
      <c r="B9" s="31"/>
      <c r="C9" s="28"/>
      <c r="D9" s="67"/>
      <c r="E9" s="29"/>
      <c r="F9" s="32"/>
      <c r="G9" s="32"/>
      <c r="H9" s="67"/>
      <c r="I9" s="29"/>
      <c r="J9" s="32"/>
      <c r="K9" s="32"/>
      <c r="M9" s="29"/>
      <c r="N9" s="32"/>
      <c r="O9" s="32"/>
      <c r="Q9" s="29"/>
      <c r="R9" s="32"/>
      <c r="S9" s="32"/>
      <c r="U9" s="29"/>
      <c r="V9" s="32"/>
      <c r="W9" s="32"/>
      <c r="Y9" s="29"/>
      <c r="Z9" s="32"/>
      <c r="AA9" s="32"/>
      <c r="AC9" s="22"/>
      <c r="AD9" s="22"/>
      <c r="AE9" s="22"/>
    </row>
    <row r="10" spans="1:31">
      <c r="A10" s="35"/>
      <c r="B10" s="27"/>
      <c r="C10" s="38" t="s">
        <v>58</v>
      </c>
      <c r="D10" s="68"/>
      <c r="E10" s="37"/>
      <c r="F10" s="33" t="s">
        <v>10</v>
      </c>
      <c r="G10" s="34">
        <f>K10+O10+S10+W10+AA10</f>
        <v>15760</v>
      </c>
      <c r="H10" s="68"/>
      <c r="I10" s="37"/>
      <c r="J10" s="33" t="s">
        <v>10</v>
      </c>
      <c r="K10" s="34">
        <f>SUM(K6:K9)</f>
        <v>2120</v>
      </c>
      <c r="M10" s="37"/>
      <c r="N10" s="33" t="s">
        <v>10</v>
      </c>
      <c r="O10" s="34">
        <f>SUM(O6:O9)</f>
        <v>3760</v>
      </c>
      <c r="Q10" s="37"/>
      <c r="R10" s="33" t="s">
        <v>10</v>
      </c>
      <c r="S10" s="34">
        <f>SUM(S6:S9)</f>
        <v>4800</v>
      </c>
      <c r="U10" s="37"/>
      <c r="V10" s="33" t="s">
        <v>10</v>
      </c>
      <c r="W10" s="34">
        <f>SUM(W6:W9)</f>
        <v>4640</v>
      </c>
      <c r="Y10" s="37"/>
      <c r="Z10" s="33" t="s">
        <v>10</v>
      </c>
      <c r="AA10" s="34">
        <f>SUM(AA6:AA9)</f>
        <v>440</v>
      </c>
    </row>
    <row r="11" spans="1:31">
      <c r="A11" s="14"/>
      <c r="B11" s="31"/>
      <c r="C11" s="38"/>
      <c r="D11" s="69"/>
      <c r="E11" s="37"/>
      <c r="F11" s="30"/>
      <c r="G11" s="34"/>
      <c r="H11" s="69"/>
      <c r="I11" s="37"/>
      <c r="J11" s="30"/>
      <c r="K11" s="34"/>
      <c r="M11" s="37"/>
      <c r="N11" s="30"/>
      <c r="O11" s="34"/>
      <c r="Q11" s="37"/>
      <c r="R11" s="30"/>
      <c r="S11" s="34"/>
      <c r="U11" s="37"/>
      <c r="V11" s="30"/>
      <c r="W11" s="34"/>
      <c r="Y11" s="37"/>
      <c r="Z11" s="30"/>
      <c r="AA11" s="34"/>
    </row>
    <row r="12" spans="1:31">
      <c r="A12" s="14"/>
      <c r="B12" s="31"/>
      <c r="C12" s="38"/>
      <c r="D12" s="69"/>
      <c r="E12" s="37"/>
      <c r="F12" s="30"/>
      <c r="G12" s="34"/>
      <c r="H12" s="69"/>
      <c r="I12" s="37"/>
      <c r="J12" s="30"/>
      <c r="K12" s="34"/>
      <c r="M12" s="37"/>
      <c r="N12" s="30"/>
      <c r="O12" s="34"/>
      <c r="Q12" s="37"/>
      <c r="R12" s="30"/>
      <c r="S12" s="34"/>
      <c r="U12" s="37"/>
      <c r="V12" s="30"/>
      <c r="W12" s="34"/>
      <c r="Y12" s="37"/>
      <c r="Z12" s="30"/>
      <c r="AA12" s="34"/>
    </row>
    <row r="13" spans="1:31">
      <c r="A13" s="14"/>
      <c r="B13" s="31"/>
      <c r="C13" s="38"/>
      <c r="D13" s="69"/>
      <c r="E13" s="37"/>
      <c r="F13" s="30"/>
      <c r="G13" s="34"/>
      <c r="H13" s="69"/>
      <c r="I13" s="37"/>
      <c r="J13" s="30"/>
      <c r="K13" s="34"/>
      <c r="M13" s="37"/>
      <c r="N13" s="30"/>
      <c r="O13" s="34"/>
      <c r="Q13" s="37"/>
      <c r="R13" s="30"/>
      <c r="S13" s="34"/>
      <c r="U13" s="37"/>
      <c r="V13" s="30"/>
      <c r="W13" s="34"/>
      <c r="Y13" s="37"/>
      <c r="Z13" s="30"/>
      <c r="AA13" s="34"/>
    </row>
    <row r="14" spans="1:31" ht="6" customHeight="1">
      <c r="A14" s="70"/>
      <c r="B14" s="41"/>
      <c r="C14" s="42"/>
      <c r="D14" s="41"/>
      <c r="E14" s="41"/>
      <c r="F14" s="44"/>
      <c r="G14" s="44"/>
      <c r="H14" s="41"/>
      <c r="I14" s="43"/>
      <c r="J14" s="44"/>
      <c r="K14" s="44"/>
      <c r="L14" s="41"/>
      <c r="M14" s="43"/>
      <c r="N14" s="44"/>
      <c r="O14" s="44"/>
      <c r="P14" s="41"/>
      <c r="Q14" s="43"/>
      <c r="R14" s="44"/>
      <c r="S14" s="44"/>
      <c r="T14" s="41"/>
      <c r="U14" s="43"/>
      <c r="V14" s="44"/>
      <c r="W14" s="44"/>
      <c r="X14" s="41"/>
      <c r="Y14" s="43"/>
      <c r="Z14" s="44"/>
      <c r="AA14" s="44"/>
    </row>
    <row r="15" spans="1:31" s="56" customFormat="1">
      <c r="A15" s="71"/>
      <c r="B15" s="72"/>
      <c r="C15" s="53" t="s">
        <v>7</v>
      </c>
      <c r="D15" s="52"/>
      <c r="E15" s="52"/>
      <c r="F15" s="55"/>
      <c r="G15" s="55">
        <f>K15+O15+S15+W15+AA15</f>
        <v>15760</v>
      </c>
      <c r="H15" s="52"/>
      <c r="I15" s="54"/>
      <c r="J15" s="55"/>
      <c r="K15" s="55">
        <f>K10</f>
        <v>2120</v>
      </c>
      <c r="L15" s="52"/>
      <c r="M15" s="54"/>
      <c r="N15" s="55"/>
      <c r="O15" s="55">
        <f>O10</f>
        <v>3760</v>
      </c>
      <c r="P15" s="52"/>
      <c r="Q15" s="54"/>
      <c r="R15" s="55"/>
      <c r="S15" s="55">
        <f>S10</f>
        <v>4800</v>
      </c>
      <c r="T15" s="52"/>
      <c r="U15" s="54"/>
      <c r="V15" s="55"/>
      <c r="W15" s="55">
        <f>W10</f>
        <v>4640</v>
      </c>
      <c r="X15" s="52"/>
      <c r="Y15" s="54"/>
      <c r="Z15" s="55"/>
      <c r="AA15" s="55">
        <f>AA10</f>
        <v>440</v>
      </c>
    </row>
    <row r="16" spans="1:31" s="56" customFormat="1">
      <c r="A16" s="71"/>
      <c r="B16" s="72"/>
      <c r="C16" s="53" t="s">
        <v>8</v>
      </c>
      <c r="D16" s="52"/>
      <c r="E16" s="52"/>
      <c r="F16" s="55"/>
      <c r="G16" s="55">
        <f>G15*0.2</f>
        <v>3152</v>
      </c>
      <c r="H16" s="52"/>
      <c r="I16" s="54"/>
      <c r="J16" s="55"/>
      <c r="K16" s="55">
        <f>K15*0.2</f>
        <v>424</v>
      </c>
      <c r="L16" s="52"/>
      <c r="M16" s="54"/>
      <c r="N16" s="55"/>
      <c r="O16" s="55">
        <f>O15*0.2</f>
        <v>752</v>
      </c>
      <c r="P16" s="52"/>
      <c r="Q16" s="54"/>
      <c r="R16" s="55"/>
      <c r="S16" s="55">
        <f>S15*0.2</f>
        <v>960</v>
      </c>
      <c r="T16" s="52"/>
      <c r="U16" s="54"/>
      <c r="V16" s="55"/>
      <c r="W16" s="55">
        <f>W15*0.2</f>
        <v>928</v>
      </c>
      <c r="X16" s="52"/>
      <c r="Y16" s="54"/>
      <c r="Z16" s="55"/>
      <c r="AA16" s="55">
        <f>AA15*0.2</f>
        <v>88</v>
      </c>
    </row>
    <row r="17" spans="1:27" s="56" customFormat="1">
      <c r="A17" s="71"/>
      <c r="B17" s="72"/>
      <c r="C17" s="53" t="s">
        <v>9</v>
      </c>
      <c r="D17" s="52"/>
      <c r="E17" s="52"/>
      <c r="F17" s="55"/>
      <c r="G17" s="55">
        <f>G16+G15</f>
        <v>18912</v>
      </c>
      <c r="H17" s="52"/>
      <c r="I17" s="54"/>
      <c r="J17" s="55"/>
      <c r="K17" s="55">
        <f>K16+K15</f>
        <v>2544</v>
      </c>
      <c r="L17" s="52"/>
      <c r="M17" s="54"/>
      <c r="N17" s="55"/>
      <c r="O17" s="55">
        <f>O16+O15</f>
        <v>4512</v>
      </c>
      <c r="P17" s="52"/>
      <c r="Q17" s="54"/>
      <c r="R17" s="55"/>
      <c r="S17" s="55">
        <f>S16+S15</f>
        <v>5760</v>
      </c>
      <c r="T17" s="52"/>
      <c r="U17" s="54"/>
      <c r="V17" s="55"/>
      <c r="W17" s="55">
        <f>W16+W15</f>
        <v>5568</v>
      </c>
      <c r="X17" s="52"/>
      <c r="Y17" s="54"/>
      <c r="Z17" s="55"/>
      <c r="AA17" s="55">
        <f>AA16+AA15</f>
        <v>528</v>
      </c>
    </row>
    <row r="18" spans="1:27" ht="6.6" customHeight="1">
      <c r="A18" s="73"/>
      <c r="B18" s="74"/>
      <c r="C18" s="45"/>
      <c r="D18" s="46"/>
      <c r="E18" s="51"/>
      <c r="F18" s="48"/>
      <c r="G18" s="48"/>
      <c r="H18" s="46"/>
      <c r="I18" s="47"/>
      <c r="J18" s="48"/>
      <c r="K18" s="48"/>
      <c r="L18" s="49"/>
      <c r="M18" s="50"/>
      <c r="N18" s="48"/>
      <c r="O18" s="48"/>
      <c r="P18" s="49"/>
      <c r="Q18" s="50"/>
      <c r="R18" s="48"/>
      <c r="S18" s="48"/>
      <c r="T18" s="49"/>
      <c r="U18" s="50"/>
      <c r="V18" s="48"/>
      <c r="W18" s="48"/>
      <c r="X18" s="49"/>
      <c r="Y18" s="50"/>
      <c r="Z18" s="48"/>
      <c r="AA18" s="48"/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B1:BM90"/>
  <sheetViews>
    <sheetView view="pageBreakPreview" topLeftCell="A20" zoomScale="55" zoomScaleNormal="40" zoomScaleSheetLayoutView="55" workbookViewId="0">
      <pane xSplit="2" topLeftCell="AD1" activePane="topRight" state="frozen"/>
      <selection activeCell="C15" sqref="C15:I15"/>
      <selection pane="topRight" activeCell="BD53" sqref="BD53"/>
    </sheetView>
  </sheetViews>
  <sheetFormatPr baseColWidth="10" defaultRowHeight="14.4" outlineLevelRow="1" outlineLevelCol="1"/>
  <cols>
    <col min="1" max="1" width="2.109375" customWidth="1"/>
    <col min="2" max="2" width="56.109375" bestFit="1" customWidth="1"/>
    <col min="3" max="3" width="16.6640625" hidden="1" customWidth="1" outlineLevel="1"/>
    <col min="4" max="11" width="15.5546875" hidden="1" customWidth="1" outlineLevel="1"/>
    <col min="12" max="12" width="1.33203125" customWidth="1" collapsed="1"/>
    <col min="13" max="50" width="12.6640625" customWidth="1"/>
    <col min="51" max="51" width="12.6640625" hidden="1" customWidth="1"/>
    <col min="52" max="52" width="1.33203125" customWidth="1"/>
    <col min="53" max="53" width="15" customWidth="1"/>
    <col min="54" max="54" width="2.6640625" customWidth="1"/>
    <col min="55" max="55" width="5.88671875" customWidth="1"/>
    <col min="56" max="56" width="14.6640625" style="89" bestFit="1" customWidth="1"/>
    <col min="57" max="57" width="15.44140625" style="89" bestFit="1" customWidth="1"/>
    <col min="58" max="63" width="5.88671875" customWidth="1"/>
  </cols>
  <sheetData>
    <row r="1" spans="2:65" ht="16.8" customHeight="1"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  <c r="AJ1" s="312"/>
      <c r="AK1" s="312"/>
      <c r="AL1" s="312"/>
      <c r="AM1" s="312"/>
      <c r="AN1" s="312"/>
      <c r="AO1" s="312"/>
      <c r="AP1" s="312"/>
      <c r="AQ1" s="312"/>
      <c r="AR1" s="312"/>
      <c r="AS1" s="312"/>
      <c r="AT1" s="312"/>
      <c r="AU1" s="312"/>
      <c r="AV1" s="312"/>
      <c r="AW1" s="312"/>
      <c r="AX1" s="312"/>
      <c r="AY1" s="312"/>
      <c r="AZ1" s="312"/>
      <c r="BA1" s="312"/>
    </row>
    <row r="2" spans="2:65" ht="56.4" customHeight="1">
      <c r="B2" s="506" t="s">
        <v>592</v>
      </c>
      <c r="C2" s="507"/>
      <c r="D2" s="507"/>
      <c r="E2" s="507"/>
      <c r="F2" s="507"/>
      <c r="G2" s="507"/>
      <c r="H2" s="507"/>
      <c r="I2" s="507"/>
      <c r="J2" s="507"/>
      <c r="K2" s="507"/>
      <c r="L2" s="507"/>
      <c r="M2" s="507"/>
      <c r="N2" s="507"/>
      <c r="O2" s="507"/>
      <c r="P2" s="507"/>
      <c r="Q2" s="507"/>
      <c r="R2" s="507"/>
      <c r="S2" s="507"/>
      <c r="T2" s="507"/>
      <c r="U2" s="507"/>
      <c r="V2" s="507"/>
      <c r="W2" s="507"/>
      <c r="X2" s="507"/>
      <c r="Y2" s="507"/>
      <c r="Z2" s="507"/>
      <c r="AA2" s="507"/>
      <c r="AB2" s="507"/>
      <c r="AC2" s="507"/>
      <c r="AD2" s="508"/>
      <c r="AE2" s="506" t="s">
        <v>590</v>
      </c>
      <c r="AF2" s="507"/>
      <c r="AG2" s="507"/>
      <c r="AH2" s="507"/>
      <c r="AI2" s="507"/>
      <c r="AJ2" s="507"/>
      <c r="AK2" s="507"/>
      <c r="AL2" s="507"/>
      <c r="AM2" s="507"/>
      <c r="AN2" s="507"/>
      <c r="AO2" s="507"/>
      <c r="AP2" s="507"/>
      <c r="AQ2" s="507"/>
      <c r="AR2" s="507"/>
      <c r="AS2" s="507"/>
      <c r="AT2" s="507"/>
      <c r="AU2" s="507"/>
      <c r="AV2" s="507"/>
      <c r="AW2" s="507"/>
      <c r="AX2" s="507"/>
      <c r="AY2" s="507"/>
      <c r="AZ2" s="507"/>
      <c r="BA2" s="508"/>
      <c r="BB2" s="316"/>
      <c r="BC2" s="316"/>
      <c r="BD2" s="202"/>
      <c r="BE2" s="202"/>
      <c r="BF2" s="202"/>
      <c r="BG2" s="202"/>
      <c r="BH2" s="202"/>
      <c r="BI2" s="202"/>
      <c r="BJ2" s="202"/>
      <c r="BK2" s="202"/>
      <c r="BL2" s="202"/>
      <c r="BM2" s="202"/>
    </row>
    <row r="3" spans="2:65" s="90" customFormat="1" ht="22.2" customHeight="1">
      <c r="B3" s="512" t="s">
        <v>181</v>
      </c>
      <c r="C3" s="510" t="s">
        <v>222</v>
      </c>
      <c r="D3" s="509" t="s">
        <v>221</v>
      </c>
      <c r="E3" s="509"/>
      <c r="F3" s="509"/>
      <c r="G3" s="509"/>
      <c r="H3" s="509"/>
      <c r="I3" s="509"/>
      <c r="J3" s="509"/>
      <c r="K3" s="509"/>
      <c r="L3" s="288"/>
      <c r="M3" s="222" t="s">
        <v>589</v>
      </c>
      <c r="N3" s="222" t="s">
        <v>580</v>
      </c>
      <c r="O3" s="222" t="s">
        <v>581</v>
      </c>
      <c r="P3" s="222" t="s">
        <v>582</v>
      </c>
      <c r="Q3" s="222" t="s">
        <v>583</v>
      </c>
      <c r="R3" s="223" t="s">
        <v>584</v>
      </c>
      <c r="S3" s="222" t="s">
        <v>585</v>
      </c>
      <c r="T3" s="222" t="s">
        <v>586</v>
      </c>
      <c r="U3" s="222" t="s">
        <v>587</v>
      </c>
      <c r="V3" s="222" t="s">
        <v>588</v>
      </c>
      <c r="W3" s="222" t="s">
        <v>217</v>
      </c>
      <c r="X3" s="222" t="s">
        <v>216</v>
      </c>
      <c r="Y3" s="222" t="s">
        <v>182</v>
      </c>
      <c r="Z3" s="222" t="s">
        <v>183</v>
      </c>
      <c r="AA3" s="222" t="s">
        <v>184</v>
      </c>
      <c r="AB3" s="222" t="s">
        <v>189</v>
      </c>
      <c r="AC3" s="222" t="s">
        <v>190</v>
      </c>
      <c r="AD3" s="223" t="s">
        <v>191</v>
      </c>
      <c r="AE3" s="221" t="s">
        <v>192</v>
      </c>
      <c r="AF3" s="222" t="s">
        <v>193</v>
      </c>
      <c r="AG3" s="222" t="s">
        <v>194</v>
      </c>
      <c r="AH3" s="222" t="s">
        <v>195</v>
      </c>
      <c r="AI3" s="222" t="s">
        <v>196</v>
      </c>
      <c r="AJ3" s="222" t="s">
        <v>197</v>
      </c>
      <c r="AK3" s="222" t="s">
        <v>198</v>
      </c>
      <c r="AL3" s="222" t="s">
        <v>199</v>
      </c>
      <c r="AM3" s="222" t="s">
        <v>200</v>
      </c>
      <c r="AN3" s="222" t="s">
        <v>201</v>
      </c>
      <c r="AO3" s="222" t="s">
        <v>202</v>
      </c>
      <c r="AP3" s="223" t="s">
        <v>203</v>
      </c>
      <c r="AQ3" s="90" t="s">
        <v>204</v>
      </c>
      <c r="AR3" s="90" t="s">
        <v>205</v>
      </c>
      <c r="AS3" s="90" t="s">
        <v>206</v>
      </c>
      <c r="AT3" s="90" t="s">
        <v>207</v>
      </c>
      <c r="AU3" s="90" t="s">
        <v>208</v>
      </c>
      <c r="AV3" s="90" t="s">
        <v>209</v>
      </c>
      <c r="AW3" s="90" t="s">
        <v>210</v>
      </c>
      <c r="AX3" s="107" t="s">
        <v>211</v>
      </c>
      <c r="AY3" s="90" t="s">
        <v>212</v>
      </c>
      <c r="AZ3" s="261"/>
      <c r="BA3" s="107" t="s">
        <v>593</v>
      </c>
    </row>
    <row r="4" spans="2:65" s="97" customFormat="1" ht="19.95" customHeight="1">
      <c r="B4" s="513"/>
      <c r="C4" s="511"/>
      <c r="D4" s="255" t="s">
        <v>569</v>
      </c>
      <c r="E4" s="255" t="s">
        <v>570</v>
      </c>
      <c r="F4" s="255" t="s">
        <v>571</v>
      </c>
      <c r="G4" s="255" t="s">
        <v>572</v>
      </c>
      <c r="H4" s="255" t="s">
        <v>574</v>
      </c>
      <c r="I4" s="255" t="s">
        <v>573</v>
      </c>
      <c r="J4" s="255" t="s">
        <v>575</v>
      </c>
      <c r="K4" s="255" t="s">
        <v>576</v>
      </c>
      <c r="L4" s="289"/>
      <c r="M4" s="256">
        <v>45474</v>
      </c>
      <c r="N4" s="256">
        <v>45505</v>
      </c>
      <c r="O4" s="256">
        <v>45536</v>
      </c>
      <c r="P4" s="256">
        <v>45566</v>
      </c>
      <c r="Q4" s="256">
        <v>45597</v>
      </c>
      <c r="R4" s="257">
        <v>45627</v>
      </c>
      <c r="S4" s="258">
        <v>45658</v>
      </c>
      <c r="T4" s="258">
        <v>45689</v>
      </c>
      <c r="U4" s="258">
        <v>45717</v>
      </c>
      <c r="V4" s="258">
        <v>45748</v>
      </c>
      <c r="W4" s="258">
        <v>45778</v>
      </c>
      <c r="X4" s="258">
        <v>45809</v>
      </c>
      <c r="Y4" s="258">
        <v>45839</v>
      </c>
      <c r="Z4" s="258">
        <v>45870</v>
      </c>
      <c r="AA4" s="258">
        <v>45901</v>
      </c>
      <c r="AB4" s="258">
        <v>45931</v>
      </c>
      <c r="AC4" s="258">
        <v>45962</v>
      </c>
      <c r="AD4" s="259">
        <v>45992</v>
      </c>
      <c r="AE4" s="260">
        <v>46023</v>
      </c>
      <c r="AF4" s="258">
        <v>46054</v>
      </c>
      <c r="AG4" s="258">
        <v>46082</v>
      </c>
      <c r="AH4" s="258">
        <v>46113</v>
      </c>
      <c r="AI4" s="258">
        <v>46143</v>
      </c>
      <c r="AJ4" s="258">
        <v>46174</v>
      </c>
      <c r="AK4" s="258">
        <v>46204</v>
      </c>
      <c r="AL4" s="258">
        <v>46235</v>
      </c>
      <c r="AM4" s="258">
        <v>46266</v>
      </c>
      <c r="AN4" s="258">
        <v>46296</v>
      </c>
      <c r="AO4" s="258">
        <v>46327</v>
      </c>
      <c r="AP4" s="259">
        <v>46357</v>
      </c>
      <c r="AQ4" s="256">
        <v>46388</v>
      </c>
      <c r="AR4" s="256">
        <v>46419</v>
      </c>
      <c r="AS4" s="256">
        <v>46447</v>
      </c>
      <c r="AT4" s="256">
        <v>46478</v>
      </c>
      <c r="AU4" s="256">
        <v>46508</v>
      </c>
      <c r="AV4" s="256">
        <v>46539</v>
      </c>
      <c r="AW4" s="256">
        <v>46569</v>
      </c>
      <c r="AX4" s="257">
        <v>46600</v>
      </c>
      <c r="AY4" s="256">
        <v>46631</v>
      </c>
      <c r="AZ4" s="261"/>
      <c r="BA4" s="259">
        <v>46935</v>
      </c>
    </row>
    <row r="5" spans="2:65" s="6" customFormat="1" ht="6" hidden="1" customHeight="1" outlineLevel="1">
      <c r="B5" s="273"/>
      <c r="C5" s="274"/>
      <c r="D5" s="262"/>
      <c r="E5" s="262"/>
      <c r="F5" s="262"/>
      <c r="G5" s="262"/>
      <c r="H5" s="262"/>
      <c r="I5" s="262"/>
      <c r="J5" s="262"/>
      <c r="K5" s="262"/>
      <c r="L5" s="274"/>
      <c r="M5" s="262"/>
      <c r="N5" s="262"/>
      <c r="O5" s="262"/>
      <c r="P5" s="262"/>
      <c r="Q5" s="262"/>
      <c r="R5" s="274"/>
      <c r="S5" s="262"/>
      <c r="T5" s="262"/>
      <c r="U5" s="262"/>
      <c r="V5" s="262"/>
      <c r="W5" s="262"/>
      <c r="X5" s="275"/>
      <c r="Y5" s="275"/>
      <c r="Z5" s="275"/>
      <c r="AA5" s="275"/>
      <c r="AB5" s="275"/>
      <c r="AC5" s="275"/>
      <c r="AD5" s="276"/>
      <c r="AE5" s="277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P5" s="276"/>
      <c r="AQ5" s="275"/>
      <c r="AR5" s="275"/>
      <c r="AS5" s="275"/>
      <c r="AT5" s="275"/>
      <c r="AU5" s="275"/>
      <c r="AV5" s="275"/>
      <c r="AW5" s="275"/>
      <c r="AX5" s="276"/>
      <c r="AY5" s="275"/>
      <c r="AZ5" s="262"/>
      <c r="BA5" s="276"/>
      <c r="BB5" s="89"/>
      <c r="BC5" s="89"/>
      <c r="BD5" s="89"/>
      <c r="BE5" s="89"/>
    </row>
    <row r="6" spans="2:65" s="6" customFormat="1" hidden="1" outlineLevel="1">
      <c r="B6" s="241" t="s">
        <v>569</v>
      </c>
      <c r="C6" s="111"/>
      <c r="L6" s="290"/>
      <c r="M6" s="89">
        <v>0.8</v>
      </c>
      <c r="N6" s="89">
        <v>0.2</v>
      </c>
      <c r="O6" s="89"/>
      <c r="P6" s="89"/>
      <c r="Q6" s="89"/>
      <c r="R6" s="111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111"/>
      <c r="AE6" s="131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111"/>
      <c r="AQ6" s="89"/>
      <c r="AR6" s="89"/>
      <c r="AS6" s="89"/>
      <c r="AT6" s="89"/>
      <c r="AU6" s="89"/>
      <c r="AV6" s="89"/>
      <c r="AW6" s="89"/>
      <c r="AX6" s="111"/>
      <c r="AY6" s="89"/>
      <c r="AZ6" s="263"/>
      <c r="BA6" s="111"/>
      <c r="BD6" s="89"/>
      <c r="BE6" s="89"/>
    </row>
    <row r="7" spans="2:65" s="6" customFormat="1" hidden="1" outlineLevel="1">
      <c r="B7" s="241" t="s">
        <v>570</v>
      </c>
      <c r="C7" s="111"/>
      <c r="L7" s="290"/>
      <c r="M7" s="89"/>
      <c r="N7" s="89"/>
      <c r="O7" s="89">
        <v>0.6</v>
      </c>
      <c r="P7" s="89">
        <f>0.2+0.1</f>
        <v>0.30000000000000004</v>
      </c>
      <c r="Q7" s="89"/>
      <c r="R7" s="111"/>
      <c r="S7" s="89"/>
      <c r="T7" s="89"/>
      <c r="U7" s="89">
        <v>0.1</v>
      </c>
      <c r="V7" s="89"/>
      <c r="W7" s="89"/>
      <c r="X7" s="89"/>
      <c r="Y7" s="89"/>
      <c r="Z7" s="89"/>
      <c r="AA7" s="89"/>
      <c r="AB7" s="89"/>
      <c r="AC7" s="89"/>
      <c r="AD7" s="111"/>
      <c r="AE7" s="131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111"/>
      <c r="AQ7" s="89"/>
      <c r="AR7" s="89"/>
      <c r="AS7" s="89"/>
      <c r="AT7" s="89"/>
      <c r="AU7" s="89"/>
      <c r="AV7" s="89"/>
      <c r="AW7" s="89"/>
      <c r="AX7" s="111"/>
      <c r="AY7" s="89"/>
      <c r="AZ7" s="263"/>
      <c r="BA7" s="111"/>
      <c r="BD7" s="89">
        <f>SUM(N7:BA7)</f>
        <v>1</v>
      </c>
      <c r="BE7" s="89"/>
    </row>
    <row r="8" spans="2:65" s="6" customFormat="1" hidden="1" outlineLevel="1">
      <c r="B8" s="241" t="s">
        <v>571</v>
      </c>
      <c r="C8" s="111"/>
      <c r="L8" s="290"/>
      <c r="M8" s="89"/>
      <c r="N8" s="89"/>
      <c r="O8" s="89"/>
      <c r="P8" s="89"/>
      <c r="Q8" s="89"/>
      <c r="R8" s="111">
        <v>0.8</v>
      </c>
      <c r="S8" s="89">
        <v>0.2</v>
      </c>
      <c r="T8" s="89"/>
      <c r="U8" s="89"/>
      <c r="V8" s="89"/>
      <c r="W8" s="89"/>
      <c r="X8" s="89"/>
      <c r="Y8" s="89"/>
      <c r="Z8" s="89"/>
      <c r="AA8" s="89"/>
      <c r="AB8" s="89"/>
      <c r="AC8" s="89"/>
      <c r="AD8" s="111"/>
      <c r="AE8" s="131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111"/>
      <c r="AQ8" s="89"/>
      <c r="AR8" s="89"/>
      <c r="AS8" s="89"/>
      <c r="AT8" s="89"/>
      <c r="AU8" s="89"/>
      <c r="AV8" s="89"/>
      <c r="AW8" s="89"/>
      <c r="AX8" s="111"/>
      <c r="AY8" s="89"/>
      <c r="AZ8" s="263"/>
      <c r="BA8" s="111"/>
      <c r="BD8" s="89">
        <f t="shared" ref="BD8:BD13" si="0">SUM(N8:BA8)</f>
        <v>1</v>
      </c>
      <c r="BE8" s="89"/>
    </row>
    <row r="9" spans="2:65" s="6" customFormat="1" hidden="1" outlineLevel="1">
      <c r="B9" s="241" t="s">
        <v>572</v>
      </c>
      <c r="C9" s="111"/>
      <c r="L9" s="290"/>
      <c r="M9" s="89"/>
      <c r="N9" s="89"/>
      <c r="O9" s="89"/>
      <c r="P9" s="89"/>
      <c r="Q9" s="89"/>
      <c r="R9" s="111"/>
      <c r="S9" s="89"/>
      <c r="T9" s="89"/>
      <c r="U9" s="89">
        <v>0.3</v>
      </c>
      <c r="V9" s="89"/>
      <c r="W9" s="89">
        <v>0.5</v>
      </c>
      <c r="X9" s="89">
        <v>0.2</v>
      </c>
      <c r="Y9" s="89"/>
      <c r="Z9" s="89"/>
      <c r="AA9" s="89"/>
      <c r="AB9" s="89"/>
      <c r="AC9" s="89"/>
      <c r="AD9" s="111"/>
      <c r="AE9" s="131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111"/>
      <c r="AQ9" s="89"/>
      <c r="AR9" s="89"/>
      <c r="AS9" s="89"/>
      <c r="AT9" s="89"/>
      <c r="AU9" s="89"/>
      <c r="AV9" s="89"/>
      <c r="AW9" s="89"/>
      <c r="AX9" s="111"/>
      <c r="AY9" s="89"/>
      <c r="AZ9" s="263"/>
      <c r="BA9" s="111"/>
      <c r="BD9" s="89">
        <f t="shared" si="0"/>
        <v>1</v>
      </c>
      <c r="BE9" s="89"/>
    </row>
    <row r="10" spans="2:65" s="6" customFormat="1" hidden="1" outlineLevel="1">
      <c r="B10" s="241" t="s">
        <v>574</v>
      </c>
      <c r="C10" s="111"/>
      <c r="L10" s="290"/>
      <c r="M10" s="89"/>
      <c r="N10" s="89"/>
      <c r="O10" s="89"/>
      <c r="P10" s="89"/>
      <c r="Q10" s="89"/>
      <c r="R10" s="111"/>
      <c r="S10" s="89"/>
      <c r="T10" s="89"/>
      <c r="U10" s="89"/>
      <c r="V10" s="89"/>
      <c r="W10" s="89"/>
      <c r="X10" s="89">
        <v>0.1</v>
      </c>
      <c r="Y10" s="89">
        <v>0.1</v>
      </c>
      <c r="Z10" s="89">
        <v>0.1</v>
      </c>
      <c r="AA10" s="89">
        <v>0.1</v>
      </c>
      <c r="AB10" s="89">
        <v>0.1</v>
      </c>
      <c r="AC10" s="89">
        <v>0.1</v>
      </c>
      <c r="AD10" s="111">
        <v>0.1</v>
      </c>
      <c r="AE10" s="131">
        <v>0.1</v>
      </c>
      <c r="AF10" s="89">
        <v>0.1</v>
      </c>
      <c r="AG10" s="89">
        <v>0.1</v>
      </c>
      <c r="AH10" s="89"/>
      <c r="AI10" s="89"/>
      <c r="AJ10" s="89"/>
      <c r="AK10" s="89"/>
      <c r="AL10" s="89"/>
      <c r="AM10" s="89"/>
      <c r="AN10" s="89"/>
      <c r="AO10" s="89"/>
      <c r="AP10" s="111"/>
      <c r="AQ10" s="89"/>
      <c r="AR10" s="89"/>
      <c r="AS10" s="89"/>
      <c r="AT10" s="89"/>
      <c r="AU10" s="89"/>
      <c r="AV10" s="89"/>
      <c r="AW10" s="89"/>
      <c r="AX10" s="111"/>
      <c r="AY10" s="89"/>
      <c r="AZ10" s="263"/>
      <c r="BA10" s="111"/>
      <c r="BD10" s="89">
        <f t="shared" si="0"/>
        <v>0.99999999999999989</v>
      </c>
      <c r="BE10" s="89"/>
    </row>
    <row r="11" spans="2:65" s="6" customFormat="1" hidden="1" outlineLevel="1">
      <c r="B11" s="241" t="s">
        <v>573</v>
      </c>
      <c r="C11" s="111"/>
      <c r="L11" s="290"/>
      <c r="M11" s="89"/>
      <c r="N11" s="89"/>
      <c r="O11" s="89"/>
      <c r="P11" s="89"/>
      <c r="Q11" s="89"/>
      <c r="R11" s="111"/>
      <c r="S11" s="89"/>
      <c r="T11" s="89"/>
      <c r="U11" s="89"/>
      <c r="V11" s="89"/>
      <c r="W11" s="89"/>
      <c r="X11" s="89">
        <v>0.1</v>
      </c>
      <c r="Y11" s="89">
        <v>0.1</v>
      </c>
      <c r="Z11" s="89">
        <v>0.1</v>
      </c>
      <c r="AA11" s="89">
        <v>0.1</v>
      </c>
      <c r="AB11" s="89">
        <v>0.1</v>
      </c>
      <c r="AC11" s="89">
        <v>0.1</v>
      </c>
      <c r="AD11" s="111">
        <v>0.1</v>
      </c>
      <c r="AE11" s="131">
        <v>0.1</v>
      </c>
      <c r="AF11" s="89">
        <v>0.1</v>
      </c>
      <c r="AG11" s="89">
        <v>0.1</v>
      </c>
      <c r="AH11" s="89"/>
      <c r="AI11" s="89"/>
      <c r="AJ11" s="89"/>
      <c r="AK11" s="89"/>
      <c r="AL11" s="89"/>
      <c r="AM11" s="89"/>
      <c r="AN11" s="89"/>
      <c r="AO11" s="89"/>
      <c r="AP11" s="111"/>
      <c r="AQ11" s="89"/>
      <c r="AR11" s="89"/>
      <c r="AS11" s="89"/>
      <c r="AT11" s="89"/>
      <c r="AU11" s="89"/>
      <c r="AV11" s="89"/>
      <c r="AW11" s="89"/>
      <c r="AX11" s="111"/>
      <c r="AY11" s="89"/>
      <c r="AZ11" s="263"/>
      <c r="BA11" s="111"/>
      <c r="BD11" s="89">
        <f t="shared" si="0"/>
        <v>0.99999999999999989</v>
      </c>
      <c r="BE11" s="89"/>
    </row>
    <row r="12" spans="2:65" s="6" customFormat="1" hidden="1" outlineLevel="1">
      <c r="B12" s="241" t="s">
        <v>575</v>
      </c>
      <c r="C12" s="111"/>
      <c r="L12" s="290"/>
      <c r="M12" s="89"/>
      <c r="N12" s="89"/>
      <c r="O12" s="89"/>
      <c r="P12" s="89"/>
      <c r="Q12" s="89"/>
      <c r="R12" s="111"/>
      <c r="S12" s="89"/>
      <c r="T12" s="89"/>
      <c r="U12" s="89"/>
      <c r="V12" s="89"/>
      <c r="W12" s="89"/>
      <c r="X12" s="89"/>
      <c r="Y12" s="89">
        <v>3.6000000000000004E-2</v>
      </c>
      <c r="Z12" s="89">
        <v>3.6000000000000004E-2</v>
      </c>
      <c r="AA12" s="89">
        <v>3.6000000000000004E-2</v>
      </c>
      <c r="AB12" s="89">
        <v>3.6000000000000004E-2</v>
      </c>
      <c r="AC12" s="89">
        <v>3.6000000000000004E-2</v>
      </c>
      <c r="AD12" s="111">
        <v>3.6000000000000004E-2</v>
      </c>
      <c r="AE12" s="131">
        <v>3.6000000000000004E-2</v>
      </c>
      <c r="AF12" s="89">
        <v>3.6000000000000004E-2</v>
      </c>
      <c r="AG12" s="89">
        <v>3.6000000000000004E-2</v>
      </c>
      <c r="AH12" s="89">
        <v>3.6000000000000004E-2</v>
      </c>
      <c r="AI12" s="89">
        <v>3.6000000000000004E-2</v>
      </c>
      <c r="AJ12" s="89">
        <v>3.6000000000000004E-2</v>
      </c>
      <c r="AK12" s="89">
        <v>3.6000000000000004E-2</v>
      </c>
      <c r="AL12" s="89">
        <v>3.6000000000000004E-2</v>
      </c>
      <c r="AM12" s="89">
        <v>3.6000000000000004E-2</v>
      </c>
      <c r="AN12" s="89">
        <v>3.6000000000000004E-2</v>
      </c>
      <c r="AO12" s="89">
        <v>3.6000000000000004E-2</v>
      </c>
      <c r="AP12" s="111">
        <v>3.6000000000000004E-2</v>
      </c>
      <c r="AQ12" s="131">
        <v>3.6000000000000004E-2</v>
      </c>
      <c r="AR12" s="89">
        <v>3.6000000000000004E-2</v>
      </c>
      <c r="AS12" s="89">
        <v>3.6000000000000004E-2</v>
      </c>
      <c r="AT12" s="89">
        <v>3.6000000000000004E-2</v>
      </c>
      <c r="AU12" s="89">
        <v>3.6000000000000004E-2</v>
      </c>
      <c r="AV12" s="89">
        <v>3.6000000000000004E-2</v>
      </c>
      <c r="AW12" s="89">
        <v>3.6000000000000004E-2</v>
      </c>
      <c r="AX12" s="135">
        <v>0.1</v>
      </c>
      <c r="AY12" s="89"/>
      <c r="AZ12" s="263"/>
      <c r="BA12" s="111"/>
      <c r="BD12" s="89">
        <f t="shared" si="0"/>
        <v>1.0000000000000007</v>
      </c>
      <c r="BE12" s="89"/>
    </row>
    <row r="13" spans="2:65" s="6" customFormat="1" hidden="1" outlineLevel="1">
      <c r="B13" s="241" t="s">
        <v>576</v>
      </c>
      <c r="C13" s="111"/>
      <c r="L13" s="290"/>
      <c r="M13" s="89"/>
      <c r="N13" s="89"/>
      <c r="O13" s="89"/>
      <c r="P13" s="89"/>
      <c r="Q13" s="89"/>
      <c r="R13" s="111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>
        <f>0.5/5</f>
        <v>0.1</v>
      </c>
      <c r="AD13" s="111"/>
      <c r="AE13" s="89"/>
      <c r="AF13" s="89"/>
      <c r="AG13" s="89"/>
      <c r="AH13" s="89"/>
      <c r="AI13" s="89">
        <f>0.5/5</f>
        <v>0.1</v>
      </c>
      <c r="AJ13" s="89"/>
      <c r="AK13" s="89"/>
      <c r="AL13" s="89"/>
      <c r="AM13" s="89"/>
      <c r="AN13" s="89"/>
      <c r="AO13" s="89">
        <f>0.5/5</f>
        <v>0.1</v>
      </c>
      <c r="AP13" s="111"/>
      <c r="AQ13" s="89"/>
      <c r="AR13" s="89"/>
      <c r="AS13" s="89"/>
      <c r="AT13" s="89"/>
      <c r="AU13" s="89">
        <f>0.5/5</f>
        <v>0.1</v>
      </c>
      <c r="AV13" s="89"/>
      <c r="AW13" s="89">
        <f>0.5/5</f>
        <v>0.1</v>
      </c>
      <c r="AX13" s="135">
        <f>0.3</f>
        <v>0.3</v>
      </c>
      <c r="AY13" s="242"/>
      <c r="AZ13" s="263"/>
      <c r="BA13" s="135">
        <v>0.2</v>
      </c>
      <c r="BD13" s="89">
        <f t="shared" si="0"/>
        <v>1</v>
      </c>
      <c r="BE13" s="89"/>
    </row>
    <row r="14" spans="2:65" s="6" customFormat="1" ht="6" customHeight="1" collapsed="1">
      <c r="B14" s="273"/>
      <c r="C14" s="274"/>
      <c r="D14" s="262"/>
      <c r="E14" s="262"/>
      <c r="F14" s="262"/>
      <c r="G14" s="262"/>
      <c r="H14" s="262"/>
      <c r="I14" s="262"/>
      <c r="J14" s="262"/>
      <c r="K14" s="262"/>
      <c r="L14" s="274"/>
      <c r="M14" s="262"/>
      <c r="N14" s="262"/>
      <c r="O14" s="262"/>
      <c r="P14" s="262"/>
      <c r="Q14" s="262"/>
      <c r="R14" s="274"/>
      <c r="S14" s="262"/>
      <c r="T14" s="262"/>
      <c r="U14" s="262"/>
      <c r="V14" s="262"/>
      <c r="W14" s="262"/>
      <c r="X14" s="275"/>
      <c r="Y14" s="275"/>
      <c r="Z14" s="275"/>
      <c r="AA14" s="275"/>
      <c r="AB14" s="275"/>
      <c r="AC14" s="275"/>
      <c r="AD14" s="276"/>
      <c r="AE14" s="275"/>
      <c r="AF14" s="275"/>
      <c r="AG14" s="275"/>
      <c r="AH14" s="275"/>
      <c r="AI14" s="275"/>
      <c r="AJ14" s="275"/>
      <c r="AK14" s="275"/>
      <c r="AL14" s="275"/>
      <c r="AM14" s="275"/>
      <c r="AN14" s="275"/>
      <c r="AO14" s="275"/>
      <c r="AP14" s="276"/>
      <c r="AQ14" s="275"/>
      <c r="AR14" s="275"/>
      <c r="AS14" s="275"/>
      <c r="AT14" s="275"/>
      <c r="AU14" s="275"/>
      <c r="AV14" s="275"/>
      <c r="AW14" s="275"/>
      <c r="AX14" s="276"/>
      <c r="AY14" s="275"/>
      <c r="AZ14" s="262"/>
      <c r="BA14" s="276"/>
      <c r="BB14" s="89"/>
      <c r="BC14" s="89"/>
      <c r="BD14" s="89"/>
      <c r="BE14" s="89"/>
    </row>
    <row r="15" spans="2:65" s="6" customFormat="1" hidden="1" outlineLevel="1">
      <c r="B15" s="241" t="s">
        <v>220</v>
      </c>
      <c r="C15" s="111"/>
      <c r="L15" s="290"/>
      <c r="M15" s="115">
        <v>13</v>
      </c>
      <c r="N15" s="115">
        <v>14</v>
      </c>
      <c r="O15" s="115">
        <v>15</v>
      </c>
      <c r="P15" s="115">
        <v>16</v>
      </c>
      <c r="Q15" s="115">
        <v>17</v>
      </c>
      <c r="R15" s="115">
        <v>18</v>
      </c>
      <c r="S15" s="115">
        <v>19</v>
      </c>
      <c r="T15" s="115">
        <v>20</v>
      </c>
      <c r="U15" s="115">
        <v>21</v>
      </c>
      <c r="V15" s="115">
        <v>22</v>
      </c>
      <c r="W15" s="115">
        <v>23</v>
      </c>
      <c r="X15" s="115">
        <v>24</v>
      </c>
      <c r="Y15" s="115">
        <v>25</v>
      </c>
      <c r="Z15" s="115">
        <v>26</v>
      </c>
      <c r="AA15" s="115">
        <v>27</v>
      </c>
      <c r="AB15" s="115">
        <v>28</v>
      </c>
      <c r="AC15" s="115">
        <v>29</v>
      </c>
      <c r="AD15" s="116">
        <v>30</v>
      </c>
      <c r="AE15" s="115">
        <v>31</v>
      </c>
      <c r="AF15" s="115">
        <v>32</v>
      </c>
      <c r="AG15" s="115">
        <v>33</v>
      </c>
      <c r="AH15" s="115">
        <v>34</v>
      </c>
      <c r="AI15" s="115">
        <v>35</v>
      </c>
      <c r="AJ15" s="115">
        <v>36</v>
      </c>
      <c r="AK15" s="115">
        <v>37</v>
      </c>
      <c r="AL15" s="115">
        <v>38</v>
      </c>
      <c r="AM15" s="115">
        <v>39</v>
      </c>
      <c r="AN15" s="115">
        <v>40</v>
      </c>
      <c r="AO15" s="115">
        <v>41</v>
      </c>
      <c r="AP15" s="115">
        <v>42</v>
      </c>
      <c r="AQ15" s="115">
        <v>43</v>
      </c>
      <c r="AR15" s="115">
        <v>44</v>
      </c>
      <c r="AS15" s="115">
        <v>45</v>
      </c>
      <c r="AT15" s="115">
        <v>46</v>
      </c>
      <c r="AU15" s="115">
        <v>47</v>
      </c>
      <c r="AV15" s="115">
        <v>48</v>
      </c>
      <c r="AW15" s="115">
        <v>49</v>
      </c>
      <c r="AX15" s="115">
        <v>50</v>
      </c>
      <c r="AY15" s="115">
        <v>51</v>
      </c>
      <c r="AZ15" s="264"/>
      <c r="BA15" s="116">
        <f>49+12</f>
        <v>61</v>
      </c>
      <c r="BD15" s="89"/>
      <c r="BE15" s="89"/>
    </row>
    <row r="16" spans="2:65" s="6" customFormat="1" collapsed="1">
      <c r="B16" s="241" t="s">
        <v>591</v>
      </c>
      <c r="C16" s="111"/>
      <c r="L16" s="290"/>
      <c r="M16" s="117">
        <f>0.1287*M15+131.28</f>
        <v>132.95310000000001</v>
      </c>
      <c r="N16" s="117">
        <f t="shared" ref="N16:BA16" si="1">0.1287*N15+131.28</f>
        <v>133.08179999999999</v>
      </c>
      <c r="O16" s="117">
        <f t="shared" si="1"/>
        <v>133.2105</v>
      </c>
      <c r="P16" s="117">
        <f t="shared" si="1"/>
        <v>133.33920000000001</v>
      </c>
      <c r="Q16" s="117">
        <f t="shared" si="1"/>
        <v>133.46790000000001</v>
      </c>
      <c r="R16" s="117">
        <f t="shared" si="1"/>
        <v>133.5966</v>
      </c>
      <c r="S16" s="117">
        <f t="shared" si="1"/>
        <v>133.7253</v>
      </c>
      <c r="T16" s="117">
        <f t="shared" si="1"/>
        <v>133.85400000000001</v>
      </c>
      <c r="U16" s="117">
        <f t="shared" si="1"/>
        <v>133.98269999999999</v>
      </c>
      <c r="V16" s="117">
        <f t="shared" si="1"/>
        <v>134.1114</v>
      </c>
      <c r="W16" s="117">
        <f t="shared" si="1"/>
        <v>134.24010000000001</v>
      </c>
      <c r="X16" s="117">
        <f t="shared" si="1"/>
        <v>134.36879999999999</v>
      </c>
      <c r="Y16" s="117">
        <f t="shared" si="1"/>
        <v>134.4975</v>
      </c>
      <c r="Z16" s="117">
        <f t="shared" si="1"/>
        <v>134.62620000000001</v>
      </c>
      <c r="AA16" s="117">
        <f t="shared" si="1"/>
        <v>134.75489999999999</v>
      </c>
      <c r="AB16" s="117">
        <f t="shared" si="1"/>
        <v>134.8836</v>
      </c>
      <c r="AC16" s="117">
        <f t="shared" si="1"/>
        <v>135.01230000000001</v>
      </c>
      <c r="AD16" s="118">
        <f t="shared" si="1"/>
        <v>135.14099999999999</v>
      </c>
      <c r="AE16" s="117">
        <f t="shared" si="1"/>
        <v>135.2697</v>
      </c>
      <c r="AF16" s="117">
        <f t="shared" si="1"/>
        <v>135.39840000000001</v>
      </c>
      <c r="AG16" s="117">
        <f t="shared" si="1"/>
        <v>135.52709999999999</v>
      </c>
      <c r="AH16" s="117">
        <f t="shared" si="1"/>
        <v>135.6558</v>
      </c>
      <c r="AI16" s="117">
        <f t="shared" si="1"/>
        <v>135.78450000000001</v>
      </c>
      <c r="AJ16" s="117">
        <f t="shared" si="1"/>
        <v>135.91319999999999</v>
      </c>
      <c r="AK16" s="117">
        <f t="shared" si="1"/>
        <v>136.0419</v>
      </c>
      <c r="AL16" s="117">
        <f t="shared" si="1"/>
        <v>136.17060000000001</v>
      </c>
      <c r="AM16" s="117">
        <f t="shared" si="1"/>
        <v>136.29929999999999</v>
      </c>
      <c r="AN16" s="117">
        <f t="shared" si="1"/>
        <v>136.428</v>
      </c>
      <c r="AO16" s="117">
        <f t="shared" si="1"/>
        <v>136.55670000000001</v>
      </c>
      <c r="AP16" s="117">
        <f t="shared" si="1"/>
        <v>136.68540000000002</v>
      </c>
      <c r="AQ16" s="117">
        <f t="shared" si="1"/>
        <v>136.8141</v>
      </c>
      <c r="AR16" s="117">
        <f t="shared" si="1"/>
        <v>136.94280000000001</v>
      </c>
      <c r="AS16" s="117">
        <f t="shared" si="1"/>
        <v>137.07150000000001</v>
      </c>
      <c r="AT16" s="117">
        <f t="shared" si="1"/>
        <v>137.2002</v>
      </c>
      <c r="AU16" s="117">
        <f t="shared" si="1"/>
        <v>137.3289</v>
      </c>
      <c r="AV16" s="117">
        <f t="shared" si="1"/>
        <v>137.45760000000001</v>
      </c>
      <c r="AW16" s="117">
        <f t="shared" si="1"/>
        <v>137.58629999999999</v>
      </c>
      <c r="AX16" s="117">
        <f t="shared" si="1"/>
        <v>137.715</v>
      </c>
      <c r="AY16" s="117">
        <f t="shared" si="1"/>
        <v>137.84370000000001</v>
      </c>
      <c r="AZ16" s="264"/>
      <c r="BA16" s="118">
        <f t="shared" si="1"/>
        <v>139.13069999999999</v>
      </c>
      <c r="BD16" s="89"/>
      <c r="BE16" s="89"/>
    </row>
    <row r="17" spans="2:57" s="6" customFormat="1" ht="6" customHeight="1">
      <c r="B17" s="273"/>
      <c r="C17" s="274"/>
      <c r="D17" s="262"/>
      <c r="E17" s="262"/>
      <c r="F17" s="262"/>
      <c r="G17" s="262"/>
      <c r="H17" s="262"/>
      <c r="I17" s="262"/>
      <c r="J17" s="262"/>
      <c r="K17" s="262"/>
      <c r="L17" s="274"/>
      <c r="M17" s="262"/>
      <c r="N17" s="262"/>
      <c r="O17" s="262"/>
      <c r="P17" s="262"/>
      <c r="Q17" s="262"/>
      <c r="R17" s="274"/>
      <c r="S17" s="262"/>
      <c r="T17" s="262"/>
      <c r="U17" s="262"/>
      <c r="V17" s="262"/>
      <c r="W17" s="262"/>
      <c r="X17" s="275"/>
      <c r="Y17" s="275"/>
      <c r="Z17" s="275"/>
      <c r="AA17" s="275"/>
      <c r="AB17" s="275"/>
      <c r="AC17" s="275"/>
      <c r="AD17" s="276"/>
      <c r="AE17" s="275"/>
      <c r="AF17" s="275"/>
      <c r="AG17" s="275"/>
      <c r="AH17" s="275"/>
      <c r="AI17" s="275"/>
      <c r="AJ17" s="275"/>
      <c r="AK17" s="275"/>
      <c r="AL17" s="275"/>
      <c r="AM17" s="275"/>
      <c r="AN17" s="275"/>
      <c r="AO17" s="275"/>
      <c r="AP17" s="276"/>
      <c r="AQ17" s="275"/>
      <c r="AR17" s="275"/>
      <c r="AS17" s="275"/>
      <c r="AT17" s="275"/>
      <c r="AU17" s="275"/>
      <c r="AV17" s="275"/>
      <c r="AW17" s="275"/>
      <c r="AX17" s="276"/>
      <c r="AY17" s="275"/>
      <c r="AZ17" s="262"/>
      <c r="BA17" s="276"/>
      <c r="BB17" s="89"/>
      <c r="BC17" s="89"/>
      <c r="BD17" s="89"/>
      <c r="BE17" s="89"/>
    </row>
    <row r="18" spans="2:57" s="6" customFormat="1" ht="16.95" customHeight="1">
      <c r="B18" s="243" t="s">
        <v>577</v>
      </c>
      <c r="C18" s="155">
        <v>722000</v>
      </c>
      <c r="D18" s="100">
        <v>100000</v>
      </c>
      <c r="E18" s="100">
        <v>112000</v>
      </c>
      <c r="F18" s="100">
        <v>126000</v>
      </c>
      <c r="G18" s="100">
        <v>43000</v>
      </c>
      <c r="H18" s="100">
        <v>25000</v>
      </c>
      <c r="I18" s="100">
        <v>50000</v>
      </c>
      <c r="J18" s="100">
        <v>220000</v>
      </c>
      <c r="K18" s="100">
        <v>46000</v>
      </c>
      <c r="L18" s="274"/>
      <c r="M18" s="100">
        <f t="shared" ref="M18:N21" si="2">M$6*$D18+M$7*$E18+M$8*$F18+M$9*$G18+M$10*$H18+M$11*$I18+M$12*$J18+M$13*$K18</f>
        <v>80000</v>
      </c>
      <c r="N18" s="100">
        <f t="shared" si="2"/>
        <v>20000</v>
      </c>
      <c r="O18" s="100">
        <f t="shared" ref="O18:AY21" si="3">O$6*$D18+O$7*$E18+O$8*$F18+O$9*$G18+O$10*$H18+O$11*$I18+O$12*$J18+O$13*$K18</f>
        <v>67200</v>
      </c>
      <c r="P18" s="100">
        <f t="shared" si="3"/>
        <v>33600.000000000007</v>
      </c>
      <c r="Q18" s="100">
        <f t="shared" si="3"/>
        <v>0</v>
      </c>
      <c r="R18" s="155">
        <f t="shared" si="3"/>
        <v>100800</v>
      </c>
      <c r="S18" s="100">
        <f t="shared" si="3"/>
        <v>25200</v>
      </c>
      <c r="T18" s="100">
        <f t="shared" si="3"/>
        <v>0</v>
      </c>
      <c r="U18" s="100">
        <f t="shared" si="3"/>
        <v>24100</v>
      </c>
      <c r="V18" s="100">
        <f t="shared" si="3"/>
        <v>0</v>
      </c>
      <c r="W18" s="100">
        <f t="shared" si="3"/>
        <v>21500</v>
      </c>
      <c r="X18" s="106">
        <f t="shared" si="3"/>
        <v>16100</v>
      </c>
      <c r="Y18" s="106">
        <f t="shared" si="3"/>
        <v>15420</v>
      </c>
      <c r="Z18" s="106">
        <f t="shared" si="3"/>
        <v>15420</v>
      </c>
      <c r="AA18" s="106">
        <f t="shared" si="3"/>
        <v>15420</v>
      </c>
      <c r="AB18" s="106">
        <f t="shared" si="3"/>
        <v>15420</v>
      </c>
      <c r="AC18" s="106">
        <f t="shared" si="3"/>
        <v>20020</v>
      </c>
      <c r="AD18" s="128">
        <f t="shared" si="3"/>
        <v>15420</v>
      </c>
      <c r="AE18" s="106">
        <f t="shared" si="3"/>
        <v>15420</v>
      </c>
      <c r="AF18" s="106">
        <f t="shared" si="3"/>
        <v>15420</v>
      </c>
      <c r="AG18" s="106">
        <f t="shared" si="3"/>
        <v>15420</v>
      </c>
      <c r="AH18" s="106">
        <f t="shared" si="3"/>
        <v>7920.0000000000009</v>
      </c>
      <c r="AI18" s="106">
        <f t="shared" si="3"/>
        <v>12520</v>
      </c>
      <c r="AJ18" s="104">
        <f t="shared" si="3"/>
        <v>7920.0000000000009</v>
      </c>
      <c r="AK18" s="104">
        <f t="shared" si="3"/>
        <v>7920.0000000000009</v>
      </c>
      <c r="AL18" s="104">
        <f t="shared" si="3"/>
        <v>7920.0000000000009</v>
      </c>
      <c r="AM18" s="104">
        <f t="shared" si="3"/>
        <v>7920.0000000000009</v>
      </c>
      <c r="AN18" s="104">
        <f t="shared" si="3"/>
        <v>7920.0000000000009</v>
      </c>
      <c r="AO18" s="104">
        <f t="shared" si="3"/>
        <v>12520</v>
      </c>
      <c r="AP18" s="121">
        <f t="shared" si="3"/>
        <v>7920.0000000000009</v>
      </c>
      <c r="AQ18" s="104">
        <f t="shared" si="3"/>
        <v>7920.0000000000009</v>
      </c>
      <c r="AR18" s="104">
        <f t="shared" si="3"/>
        <v>7920.0000000000009</v>
      </c>
      <c r="AS18" s="104">
        <f t="shared" si="3"/>
        <v>7920.0000000000009</v>
      </c>
      <c r="AT18" s="104">
        <f t="shared" si="3"/>
        <v>7920.0000000000009</v>
      </c>
      <c r="AU18" s="104">
        <f t="shared" si="3"/>
        <v>12520</v>
      </c>
      <c r="AV18" s="104">
        <f t="shared" si="3"/>
        <v>7920.0000000000009</v>
      </c>
      <c r="AW18" s="104">
        <f t="shared" si="3"/>
        <v>12520</v>
      </c>
      <c r="AX18" s="121">
        <f t="shared" si="3"/>
        <v>35800</v>
      </c>
      <c r="AY18" s="224">
        <f t="shared" si="3"/>
        <v>0</v>
      </c>
      <c r="AZ18" s="265"/>
      <c r="BA18" s="244">
        <f>BA$6*$D18+BA$7*$E18+BA$8*$F18+BA$9*$G18+BA$10*$H18+BA$11*$I18+BA$12*$J18+BA$13*$K18</f>
        <v>9200</v>
      </c>
      <c r="BB18" s="89"/>
      <c r="BC18" s="89"/>
      <c r="BD18" s="279">
        <f>SUM(M18:BA18)</f>
        <v>722000</v>
      </c>
      <c r="BE18" s="193">
        <f>C18-BD18</f>
        <v>0</v>
      </c>
    </row>
    <row r="19" spans="2:57" s="6" customFormat="1" ht="16.95" customHeight="1">
      <c r="B19" s="245" t="s">
        <v>578</v>
      </c>
      <c r="C19" s="156">
        <v>85800</v>
      </c>
      <c r="D19" s="98">
        <v>1000</v>
      </c>
      <c r="E19" s="98">
        <v>2000</v>
      </c>
      <c r="F19" s="98">
        <v>2000</v>
      </c>
      <c r="G19" s="98">
        <v>4000</v>
      </c>
      <c r="H19" s="98">
        <v>0</v>
      </c>
      <c r="I19" s="98">
        <v>0</v>
      </c>
      <c r="J19" s="98">
        <v>72800</v>
      </c>
      <c r="K19" s="98">
        <v>4000</v>
      </c>
      <c r="L19" s="274"/>
      <c r="M19" s="98">
        <f t="shared" si="2"/>
        <v>800</v>
      </c>
      <c r="N19" s="98">
        <f t="shared" si="2"/>
        <v>200</v>
      </c>
      <c r="O19" s="98">
        <f t="shared" si="3"/>
        <v>1200</v>
      </c>
      <c r="P19" s="98">
        <f t="shared" si="3"/>
        <v>600.00000000000011</v>
      </c>
      <c r="Q19" s="98">
        <f t="shared" si="3"/>
        <v>0</v>
      </c>
      <c r="R19" s="156">
        <f t="shared" si="3"/>
        <v>1600</v>
      </c>
      <c r="S19" s="98">
        <f t="shared" si="3"/>
        <v>400</v>
      </c>
      <c r="T19" s="98">
        <f t="shared" si="3"/>
        <v>0</v>
      </c>
      <c r="U19" s="98">
        <f t="shared" si="3"/>
        <v>1400</v>
      </c>
      <c r="V19" s="98">
        <f t="shared" si="3"/>
        <v>0</v>
      </c>
      <c r="W19" s="98">
        <f t="shared" si="3"/>
        <v>2000</v>
      </c>
      <c r="X19" s="105">
        <f t="shared" si="3"/>
        <v>800</v>
      </c>
      <c r="Y19" s="105">
        <f t="shared" si="3"/>
        <v>2620.8000000000002</v>
      </c>
      <c r="Z19" s="105">
        <f t="shared" si="3"/>
        <v>2620.8000000000002</v>
      </c>
      <c r="AA19" s="105">
        <f t="shared" si="3"/>
        <v>2620.8000000000002</v>
      </c>
      <c r="AB19" s="105">
        <f t="shared" si="3"/>
        <v>2620.8000000000002</v>
      </c>
      <c r="AC19" s="105">
        <f t="shared" si="3"/>
        <v>3020.8</v>
      </c>
      <c r="AD19" s="122">
        <f t="shared" si="3"/>
        <v>2620.8000000000002</v>
      </c>
      <c r="AE19" s="105">
        <f t="shared" si="3"/>
        <v>2620.8000000000002</v>
      </c>
      <c r="AF19" s="105">
        <f t="shared" si="3"/>
        <v>2620.8000000000002</v>
      </c>
      <c r="AG19" s="105">
        <f t="shared" si="3"/>
        <v>2620.8000000000002</v>
      </c>
      <c r="AH19" s="105">
        <f t="shared" si="3"/>
        <v>2620.8000000000002</v>
      </c>
      <c r="AI19" s="105">
        <f t="shared" si="3"/>
        <v>3020.8</v>
      </c>
      <c r="AJ19" s="105">
        <f t="shared" si="3"/>
        <v>2620.8000000000002</v>
      </c>
      <c r="AK19" s="105">
        <f t="shared" si="3"/>
        <v>2620.8000000000002</v>
      </c>
      <c r="AL19" s="105">
        <f t="shared" si="3"/>
        <v>2620.8000000000002</v>
      </c>
      <c r="AM19" s="105">
        <f t="shared" si="3"/>
        <v>2620.8000000000002</v>
      </c>
      <c r="AN19" s="105">
        <f t="shared" si="3"/>
        <v>2620.8000000000002</v>
      </c>
      <c r="AO19" s="105">
        <f t="shared" si="3"/>
        <v>3020.8</v>
      </c>
      <c r="AP19" s="122">
        <f t="shared" si="3"/>
        <v>2620.8000000000002</v>
      </c>
      <c r="AQ19" s="105">
        <f t="shared" si="3"/>
        <v>2620.8000000000002</v>
      </c>
      <c r="AR19" s="105">
        <f t="shared" si="3"/>
        <v>2620.8000000000002</v>
      </c>
      <c r="AS19" s="105">
        <f t="shared" si="3"/>
        <v>2620.8000000000002</v>
      </c>
      <c r="AT19" s="105">
        <f t="shared" si="3"/>
        <v>2620.8000000000002</v>
      </c>
      <c r="AU19" s="105">
        <f t="shared" si="3"/>
        <v>3020.8</v>
      </c>
      <c r="AV19" s="105">
        <f t="shared" si="3"/>
        <v>2620.8000000000002</v>
      </c>
      <c r="AW19" s="105">
        <f t="shared" si="3"/>
        <v>3020.8</v>
      </c>
      <c r="AX19" s="122">
        <f t="shared" si="3"/>
        <v>8480</v>
      </c>
      <c r="AY19" s="225">
        <f t="shared" si="3"/>
        <v>0</v>
      </c>
      <c r="AZ19" s="265"/>
      <c r="BA19" s="246">
        <f>BA$6*$D19+BA$7*$E19+BA$8*$F19+BA$9*$G19+BA$10*$H19+BA$11*$I19+BA$12*$J19+BA$13*$K19</f>
        <v>800</v>
      </c>
      <c r="BB19" s="89"/>
      <c r="BC19" s="89"/>
      <c r="BD19" s="279">
        <f t="shared" ref="BD19:BD22" si="4">SUM(M19:BA19)</f>
        <v>85800.000000000044</v>
      </c>
      <c r="BE19" s="193">
        <f>C19-BD19</f>
        <v>0</v>
      </c>
    </row>
    <row r="20" spans="2:57" s="6" customFormat="1" ht="16.95" customHeight="1">
      <c r="B20" s="243" t="s">
        <v>579</v>
      </c>
      <c r="C20" s="155">
        <v>15000</v>
      </c>
      <c r="D20" s="100">
        <v>0</v>
      </c>
      <c r="E20" s="100">
        <v>6000</v>
      </c>
      <c r="F20" s="100">
        <v>7000</v>
      </c>
      <c r="G20" s="100">
        <v>0</v>
      </c>
      <c r="H20" s="100">
        <v>0</v>
      </c>
      <c r="I20" s="100">
        <v>0</v>
      </c>
      <c r="J20" s="100">
        <v>0</v>
      </c>
      <c r="K20" s="100">
        <v>2000</v>
      </c>
      <c r="L20" s="274"/>
      <c r="M20" s="100">
        <f t="shared" si="2"/>
        <v>0</v>
      </c>
      <c r="N20" s="100">
        <f t="shared" si="2"/>
        <v>0</v>
      </c>
      <c r="O20" s="100">
        <f t="shared" si="3"/>
        <v>3600</v>
      </c>
      <c r="P20" s="100">
        <f t="shared" si="3"/>
        <v>1800.0000000000002</v>
      </c>
      <c r="Q20" s="100">
        <f t="shared" si="3"/>
        <v>0</v>
      </c>
      <c r="R20" s="155">
        <f t="shared" si="3"/>
        <v>5600</v>
      </c>
      <c r="S20" s="100">
        <f t="shared" si="3"/>
        <v>1400</v>
      </c>
      <c r="T20" s="100">
        <f t="shared" si="3"/>
        <v>0</v>
      </c>
      <c r="U20" s="100">
        <f t="shared" si="3"/>
        <v>600</v>
      </c>
      <c r="V20" s="100">
        <f t="shared" si="3"/>
        <v>0</v>
      </c>
      <c r="W20" s="100">
        <f t="shared" si="3"/>
        <v>0</v>
      </c>
      <c r="X20" s="106">
        <f t="shared" si="3"/>
        <v>0</v>
      </c>
      <c r="Y20" s="106">
        <f t="shared" si="3"/>
        <v>0</v>
      </c>
      <c r="Z20" s="106">
        <f t="shared" si="3"/>
        <v>0</v>
      </c>
      <c r="AA20" s="106">
        <f t="shared" si="3"/>
        <v>0</v>
      </c>
      <c r="AB20" s="106">
        <f t="shared" si="3"/>
        <v>0</v>
      </c>
      <c r="AC20" s="106">
        <f t="shared" si="3"/>
        <v>200</v>
      </c>
      <c r="AD20" s="128">
        <f t="shared" si="3"/>
        <v>0</v>
      </c>
      <c r="AE20" s="106">
        <f t="shared" si="3"/>
        <v>0</v>
      </c>
      <c r="AF20" s="106">
        <f t="shared" si="3"/>
        <v>0</v>
      </c>
      <c r="AG20" s="106">
        <f t="shared" si="3"/>
        <v>0</v>
      </c>
      <c r="AH20" s="106">
        <f t="shared" si="3"/>
        <v>0</v>
      </c>
      <c r="AI20" s="106">
        <f t="shared" si="3"/>
        <v>200</v>
      </c>
      <c r="AJ20" s="104">
        <f t="shared" si="3"/>
        <v>0</v>
      </c>
      <c r="AK20" s="104">
        <f t="shared" si="3"/>
        <v>0</v>
      </c>
      <c r="AL20" s="104">
        <f t="shared" si="3"/>
        <v>0</v>
      </c>
      <c r="AM20" s="104">
        <f t="shared" si="3"/>
        <v>0</v>
      </c>
      <c r="AN20" s="104">
        <f t="shared" si="3"/>
        <v>0</v>
      </c>
      <c r="AO20" s="104">
        <f t="shared" si="3"/>
        <v>200</v>
      </c>
      <c r="AP20" s="121">
        <f t="shared" si="3"/>
        <v>0</v>
      </c>
      <c r="AQ20" s="104">
        <f t="shared" si="3"/>
        <v>0</v>
      </c>
      <c r="AR20" s="104">
        <f t="shared" si="3"/>
        <v>0</v>
      </c>
      <c r="AS20" s="104">
        <f t="shared" si="3"/>
        <v>0</v>
      </c>
      <c r="AT20" s="104">
        <f t="shared" si="3"/>
        <v>0</v>
      </c>
      <c r="AU20" s="104">
        <f t="shared" si="3"/>
        <v>200</v>
      </c>
      <c r="AV20" s="104">
        <f t="shared" si="3"/>
        <v>0</v>
      </c>
      <c r="AW20" s="104">
        <f t="shared" si="3"/>
        <v>200</v>
      </c>
      <c r="AX20" s="121">
        <f t="shared" si="3"/>
        <v>600</v>
      </c>
      <c r="AY20" s="224">
        <f t="shared" si="3"/>
        <v>0</v>
      </c>
      <c r="AZ20" s="265"/>
      <c r="BA20" s="244">
        <f>BA$6*$D20+BA$7*$E20+BA$8*$F20+BA$9*$G20+BA$10*$H20+BA$11*$I20+BA$12*$J20+BA$13*$K20</f>
        <v>400</v>
      </c>
      <c r="BB20" s="89"/>
      <c r="BC20" s="89"/>
      <c r="BD20" s="279">
        <f t="shared" si="4"/>
        <v>15000</v>
      </c>
      <c r="BE20" s="193">
        <f>C20-BD20</f>
        <v>0</v>
      </c>
    </row>
    <row r="21" spans="2:57" s="6" customFormat="1" ht="16.8" customHeight="1">
      <c r="B21" s="245" t="s">
        <v>594</v>
      </c>
      <c r="C21" s="156">
        <v>12000</v>
      </c>
      <c r="D21" s="98">
        <v>0</v>
      </c>
      <c r="E21" s="98">
        <v>0</v>
      </c>
      <c r="F21" s="98">
        <v>6000</v>
      </c>
      <c r="G21" s="98">
        <v>1500</v>
      </c>
      <c r="H21" s="98">
        <v>2000</v>
      </c>
      <c r="I21" s="98">
        <v>0</v>
      </c>
      <c r="J21" s="98">
        <v>2000</v>
      </c>
      <c r="K21" s="98">
        <v>500</v>
      </c>
      <c r="L21" s="274"/>
      <c r="M21" s="98">
        <f t="shared" si="2"/>
        <v>0</v>
      </c>
      <c r="N21" s="98">
        <f t="shared" si="2"/>
        <v>0</v>
      </c>
      <c r="O21" s="98">
        <f t="shared" si="3"/>
        <v>0</v>
      </c>
      <c r="P21" s="98">
        <f t="shared" si="3"/>
        <v>0</v>
      </c>
      <c r="Q21" s="98">
        <f t="shared" si="3"/>
        <v>0</v>
      </c>
      <c r="R21" s="156">
        <f t="shared" si="3"/>
        <v>4800</v>
      </c>
      <c r="S21" s="98">
        <f t="shared" si="3"/>
        <v>1200</v>
      </c>
      <c r="T21" s="98">
        <f t="shared" si="3"/>
        <v>0</v>
      </c>
      <c r="U21" s="98">
        <f t="shared" si="3"/>
        <v>450</v>
      </c>
      <c r="V21" s="98">
        <f t="shared" si="3"/>
        <v>0</v>
      </c>
      <c r="W21" s="98">
        <f t="shared" si="3"/>
        <v>750</v>
      </c>
      <c r="X21" s="105">
        <f t="shared" si="3"/>
        <v>500</v>
      </c>
      <c r="Y21" s="105">
        <f t="shared" si="3"/>
        <v>272</v>
      </c>
      <c r="Z21" s="105">
        <f t="shared" si="3"/>
        <v>272</v>
      </c>
      <c r="AA21" s="105">
        <f t="shared" si="3"/>
        <v>272</v>
      </c>
      <c r="AB21" s="105">
        <f t="shared" si="3"/>
        <v>272</v>
      </c>
      <c r="AC21" s="105">
        <f t="shared" si="3"/>
        <v>322</v>
      </c>
      <c r="AD21" s="122">
        <f t="shared" si="3"/>
        <v>272</v>
      </c>
      <c r="AE21" s="105">
        <f t="shared" si="3"/>
        <v>272</v>
      </c>
      <c r="AF21" s="105">
        <f t="shared" si="3"/>
        <v>272</v>
      </c>
      <c r="AG21" s="105">
        <f t="shared" si="3"/>
        <v>272</v>
      </c>
      <c r="AH21" s="105">
        <f t="shared" si="3"/>
        <v>72.000000000000014</v>
      </c>
      <c r="AI21" s="105">
        <f t="shared" si="3"/>
        <v>122.00000000000001</v>
      </c>
      <c r="AJ21" s="105">
        <f t="shared" si="3"/>
        <v>72.000000000000014</v>
      </c>
      <c r="AK21" s="105">
        <f t="shared" si="3"/>
        <v>72.000000000000014</v>
      </c>
      <c r="AL21" s="105">
        <f t="shared" si="3"/>
        <v>72.000000000000014</v>
      </c>
      <c r="AM21" s="105">
        <f t="shared" si="3"/>
        <v>72.000000000000014</v>
      </c>
      <c r="AN21" s="105">
        <f t="shared" si="3"/>
        <v>72.000000000000014</v>
      </c>
      <c r="AO21" s="105">
        <f t="shared" si="3"/>
        <v>122.00000000000001</v>
      </c>
      <c r="AP21" s="122">
        <f t="shared" si="3"/>
        <v>72.000000000000014</v>
      </c>
      <c r="AQ21" s="105">
        <f t="shared" si="3"/>
        <v>72.000000000000014</v>
      </c>
      <c r="AR21" s="105">
        <f t="shared" si="3"/>
        <v>72.000000000000014</v>
      </c>
      <c r="AS21" s="105">
        <f t="shared" si="3"/>
        <v>72.000000000000014</v>
      </c>
      <c r="AT21" s="105">
        <f t="shared" si="3"/>
        <v>72.000000000000014</v>
      </c>
      <c r="AU21" s="105">
        <f t="shared" si="3"/>
        <v>122.00000000000001</v>
      </c>
      <c r="AV21" s="105">
        <f t="shared" si="3"/>
        <v>72.000000000000014</v>
      </c>
      <c r="AW21" s="105">
        <f t="shared" si="3"/>
        <v>122.00000000000001</v>
      </c>
      <c r="AX21" s="122">
        <f t="shared" si="3"/>
        <v>350</v>
      </c>
      <c r="AY21" s="225">
        <f t="shared" si="3"/>
        <v>0</v>
      </c>
      <c r="AZ21" s="265"/>
      <c r="BA21" s="246">
        <f>BA$6*$D21+BA$7*$E21+BA$8*$F21+BA$9*$G21+BA$10*$H21+BA$11*$I21+BA$12*$J21+BA$13*$K21</f>
        <v>100</v>
      </c>
      <c r="BB21" s="89"/>
      <c r="BC21" s="89"/>
      <c r="BD21" s="279">
        <f t="shared" si="4"/>
        <v>12000</v>
      </c>
      <c r="BE21" s="193">
        <f>C21-BD21</f>
        <v>0</v>
      </c>
    </row>
    <row r="22" spans="2:57" s="6" customFormat="1" ht="16.95" customHeight="1">
      <c r="B22" s="243"/>
      <c r="C22" s="155"/>
      <c r="D22" s="100"/>
      <c r="E22" s="100"/>
      <c r="F22" s="100"/>
      <c r="G22" s="100"/>
      <c r="H22" s="100"/>
      <c r="I22" s="100"/>
      <c r="J22" s="100"/>
      <c r="K22" s="100"/>
      <c r="L22" s="274"/>
      <c r="M22" s="100"/>
      <c r="N22" s="100"/>
      <c r="O22" s="100"/>
      <c r="P22" s="100"/>
      <c r="Q22" s="100"/>
      <c r="R22" s="155"/>
      <c r="S22" s="100"/>
      <c r="T22" s="100"/>
      <c r="U22" s="100"/>
      <c r="V22" s="100"/>
      <c r="W22" s="100"/>
      <c r="X22" s="106"/>
      <c r="Y22" s="106"/>
      <c r="Z22" s="106"/>
      <c r="AA22" s="106"/>
      <c r="AB22" s="106"/>
      <c r="AC22" s="106"/>
      <c r="AD22" s="128"/>
      <c r="AE22" s="106"/>
      <c r="AF22" s="106"/>
      <c r="AG22" s="106"/>
      <c r="AH22" s="106"/>
      <c r="AI22" s="106"/>
      <c r="AJ22" s="104"/>
      <c r="AK22" s="104"/>
      <c r="AL22" s="104"/>
      <c r="AM22" s="104"/>
      <c r="AN22" s="104"/>
      <c r="AO22" s="104"/>
      <c r="AP22" s="121"/>
      <c r="AQ22" s="104"/>
      <c r="AR22" s="104"/>
      <c r="AS22" s="104"/>
      <c r="AT22" s="104"/>
      <c r="AU22" s="104"/>
      <c r="AV22" s="104"/>
      <c r="AW22" s="104"/>
      <c r="AX22" s="121"/>
      <c r="AY22" s="101"/>
      <c r="AZ22" s="262"/>
      <c r="BA22" s="119"/>
      <c r="BB22" s="89"/>
      <c r="BC22" s="89"/>
      <c r="BD22" s="279">
        <f t="shared" si="4"/>
        <v>0</v>
      </c>
      <c r="BE22" s="193">
        <f>C22-BD22</f>
        <v>0</v>
      </c>
    </row>
    <row r="23" spans="2:57" s="6" customFormat="1" ht="6" customHeight="1">
      <c r="B23" s="266"/>
      <c r="C23" s="267"/>
      <c r="D23" s="268"/>
      <c r="E23" s="268"/>
      <c r="F23" s="268"/>
      <c r="G23" s="268"/>
      <c r="H23" s="268"/>
      <c r="I23" s="268"/>
      <c r="J23" s="268"/>
      <c r="K23" s="268"/>
      <c r="L23" s="267"/>
      <c r="M23" s="268"/>
      <c r="N23" s="268"/>
      <c r="O23" s="268"/>
      <c r="P23" s="268"/>
      <c r="Q23" s="268"/>
      <c r="R23" s="267"/>
      <c r="S23" s="268"/>
      <c r="T23" s="268"/>
      <c r="U23" s="268"/>
      <c r="V23" s="268"/>
      <c r="W23" s="268"/>
      <c r="X23" s="267"/>
      <c r="Y23" s="269"/>
      <c r="Z23" s="270"/>
      <c r="AA23" s="270"/>
      <c r="AB23" s="270"/>
      <c r="AC23" s="270"/>
      <c r="AD23" s="271"/>
      <c r="AE23" s="269"/>
      <c r="AF23" s="270"/>
      <c r="AG23" s="270"/>
      <c r="AH23" s="270"/>
      <c r="AI23" s="270"/>
      <c r="AJ23" s="270"/>
      <c r="AK23" s="270"/>
      <c r="AL23" s="270"/>
      <c r="AM23" s="270"/>
      <c r="AN23" s="270"/>
      <c r="AO23" s="270"/>
      <c r="AP23" s="271"/>
      <c r="AQ23" s="270"/>
      <c r="AR23" s="270"/>
      <c r="AS23" s="270"/>
      <c r="AT23" s="270"/>
      <c r="AU23" s="270"/>
      <c r="AV23" s="270"/>
      <c r="AW23" s="270"/>
      <c r="AX23" s="271"/>
      <c r="AY23" s="263"/>
      <c r="AZ23" s="262"/>
      <c r="BA23" s="272"/>
      <c r="BB23" s="89"/>
      <c r="BC23" s="89"/>
      <c r="BD23" s="89"/>
      <c r="BE23" s="89"/>
    </row>
    <row r="24" spans="2:57" s="91" customFormat="1" ht="24" customHeight="1">
      <c r="B24" s="248" t="s">
        <v>599</v>
      </c>
      <c r="C24" s="226">
        <f t="shared" ref="C24:K24" si="5">SUM(C18:C22)</f>
        <v>834800</v>
      </c>
      <c r="D24" s="227">
        <f t="shared" si="5"/>
        <v>101000</v>
      </c>
      <c r="E24" s="227">
        <f t="shared" si="5"/>
        <v>120000</v>
      </c>
      <c r="F24" s="227">
        <f t="shared" si="5"/>
        <v>141000</v>
      </c>
      <c r="G24" s="227">
        <f t="shared" si="5"/>
        <v>48500</v>
      </c>
      <c r="H24" s="227">
        <f t="shared" si="5"/>
        <v>27000</v>
      </c>
      <c r="I24" s="227">
        <f t="shared" si="5"/>
        <v>50000</v>
      </c>
      <c r="J24" s="227">
        <f t="shared" si="5"/>
        <v>294800</v>
      </c>
      <c r="K24" s="227">
        <f t="shared" si="5"/>
        <v>52500</v>
      </c>
      <c r="L24" s="274"/>
      <c r="M24" s="229">
        <f t="shared" ref="M24:AY24" si="6">SUM(M18:M22)</f>
        <v>80800</v>
      </c>
      <c r="N24" s="229">
        <f t="shared" si="6"/>
        <v>20200</v>
      </c>
      <c r="O24" s="229">
        <f t="shared" si="6"/>
        <v>72000</v>
      </c>
      <c r="P24" s="229">
        <f t="shared" si="6"/>
        <v>36000.000000000007</v>
      </c>
      <c r="Q24" s="229">
        <f t="shared" si="6"/>
        <v>0</v>
      </c>
      <c r="R24" s="230">
        <f t="shared" si="6"/>
        <v>112800</v>
      </c>
      <c r="S24" s="229">
        <f t="shared" si="6"/>
        <v>28200</v>
      </c>
      <c r="T24" s="229">
        <f t="shared" si="6"/>
        <v>0</v>
      </c>
      <c r="U24" s="229">
        <f t="shared" si="6"/>
        <v>26550</v>
      </c>
      <c r="V24" s="229">
        <f t="shared" si="6"/>
        <v>0</v>
      </c>
      <c r="W24" s="229">
        <f t="shared" si="6"/>
        <v>24250</v>
      </c>
      <c r="X24" s="229">
        <f t="shared" si="6"/>
        <v>17400</v>
      </c>
      <c r="Y24" s="229">
        <f t="shared" si="6"/>
        <v>18312.8</v>
      </c>
      <c r="Z24" s="229">
        <f t="shared" si="6"/>
        <v>18312.8</v>
      </c>
      <c r="AA24" s="229">
        <f t="shared" si="6"/>
        <v>18312.8</v>
      </c>
      <c r="AB24" s="229">
        <f t="shared" si="6"/>
        <v>18312.8</v>
      </c>
      <c r="AC24" s="229">
        <f t="shared" si="6"/>
        <v>23562.799999999999</v>
      </c>
      <c r="AD24" s="230">
        <f t="shared" si="6"/>
        <v>18312.8</v>
      </c>
      <c r="AE24" s="229">
        <f t="shared" si="6"/>
        <v>18312.8</v>
      </c>
      <c r="AF24" s="229">
        <f t="shared" si="6"/>
        <v>18312.8</v>
      </c>
      <c r="AG24" s="229">
        <f t="shared" si="6"/>
        <v>18312.8</v>
      </c>
      <c r="AH24" s="229">
        <f t="shared" si="6"/>
        <v>10612.800000000001</v>
      </c>
      <c r="AI24" s="229">
        <f t="shared" si="6"/>
        <v>15862.8</v>
      </c>
      <c r="AJ24" s="229">
        <f t="shared" si="6"/>
        <v>10612.800000000001</v>
      </c>
      <c r="AK24" s="229">
        <f t="shared" si="6"/>
        <v>10612.800000000001</v>
      </c>
      <c r="AL24" s="229">
        <f t="shared" si="6"/>
        <v>10612.800000000001</v>
      </c>
      <c r="AM24" s="229">
        <f t="shared" si="6"/>
        <v>10612.800000000001</v>
      </c>
      <c r="AN24" s="229">
        <f t="shared" si="6"/>
        <v>10612.800000000001</v>
      </c>
      <c r="AO24" s="229">
        <f t="shared" si="6"/>
        <v>15862.8</v>
      </c>
      <c r="AP24" s="230">
        <f t="shared" si="6"/>
        <v>10612.800000000001</v>
      </c>
      <c r="AQ24" s="229">
        <f t="shared" si="6"/>
        <v>10612.800000000001</v>
      </c>
      <c r="AR24" s="229">
        <f t="shared" si="6"/>
        <v>10612.800000000001</v>
      </c>
      <c r="AS24" s="229">
        <f t="shared" si="6"/>
        <v>10612.800000000001</v>
      </c>
      <c r="AT24" s="229">
        <f t="shared" si="6"/>
        <v>10612.800000000001</v>
      </c>
      <c r="AU24" s="229">
        <f t="shared" si="6"/>
        <v>15862.8</v>
      </c>
      <c r="AV24" s="229">
        <f t="shared" si="6"/>
        <v>10612.800000000001</v>
      </c>
      <c r="AW24" s="229">
        <f t="shared" si="6"/>
        <v>15862.8</v>
      </c>
      <c r="AX24" s="230">
        <f t="shared" si="6"/>
        <v>45230</v>
      </c>
      <c r="AY24" s="229">
        <f t="shared" si="6"/>
        <v>0</v>
      </c>
      <c r="AZ24" s="228"/>
      <c r="BA24" s="230">
        <f>SUM(BA18:BA22)</f>
        <v>10500</v>
      </c>
      <c r="BD24" s="90"/>
      <c r="BE24" s="90"/>
    </row>
    <row r="25" spans="2:57" s="91" customFormat="1" ht="24" customHeight="1">
      <c r="B25" s="249" t="s">
        <v>600</v>
      </c>
      <c r="C25" s="231"/>
      <c r="D25" s="231"/>
      <c r="E25" s="231"/>
      <c r="F25" s="231"/>
      <c r="G25" s="231"/>
      <c r="H25" s="231"/>
      <c r="I25" s="231"/>
      <c r="J25" s="231"/>
      <c r="K25" s="231"/>
      <c r="L25" s="274"/>
      <c r="M25" s="233">
        <f t="shared" ref="M25" si="7">M24*0.15+M24*M16/132.3</f>
        <v>93318.869841269843</v>
      </c>
      <c r="N25" s="233">
        <f t="shared" ref="N25:O25" si="8">N24*0.15+N24*N16/132.3</f>
        <v>23349.36780045351</v>
      </c>
      <c r="O25" s="233">
        <f t="shared" si="8"/>
        <v>83295.510204081627</v>
      </c>
      <c r="P25" s="233">
        <f t="shared" ref="P25:Q25" si="9">P24*0.15+P24*P16/132.3</f>
        <v>41682.77551020409</v>
      </c>
      <c r="Q25" s="233">
        <f t="shared" si="9"/>
        <v>0</v>
      </c>
      <c r="R25" s="234">
        <f t="shared" ref="R25:S25" si="10">R24*0.15+R24*R16/132.3</f>
        <v>130825.49115646257</v>
      </c>
      <c r="S25" s="233">
        <f t="shared" si="10"/>
        <v>32733.805442176868</v>
      </c>
      <c r="T25" s="233">
        <f t="shared" ref="T25:U25" si="11">T24*0.15+T24*T16/132.3</f>
        <v>0</v>
      </c>
      <c r="U25" s="233">
        <f t="shared" si="11"/>
        <v>30870.184693877549</v>
      </c>
      <c r="V25" s="233">
        <f t="shared" ref="V25:W25" si="12">V24*0.15+V24*V16/132.3</f>
        <v>0</v>
      </c>
      <c r="W25" s="233">
        <f t="shared" si="12"/>
        <v>28243.111678004534</v>
      </c>
      <c r="X25" s="233">
        <f t="shared" ref="X25" si="13">X24*0.15+X24*X16/132.3</f>
        <v>20282.087074829931</v>
      </c>
      <c r="Y25" s="233">
        <f>Y24*0.15+Y24*Y16/132.3</f>
        <v>21363.895192743759</v>
      </c>
      <c r="Z25" s="233">
        <f t="shared" ref="Z25:AD25" si="14">Z24*0.15+Z24*Z16/132.3</f>
        <v>21381.709685260768</v>
      </c>
      <c r="AA25" s="233">
        <f t="shared" si="14"/>
        <v>21399.52417777777</v>
      </c>
      <c r="AB25" s="233">
        <f t="shared" si="14"/>
        <v>21417.338670294779</v>
      </c>
      <c r="AC25" s="233">
        <f t="shared" si="14"/>
        <v>27580.284115192742</v>
      </c>
      <c r="AD25" s="234">
        <f t="shared" si="14"/>
        <v>21452.967655328794</v>
      </c>
      <c r="AE25" s="233">
        <f t="shared" ref="AE25" si="15">AE24*0.15+AE24*AE16/132.3</f>
        <v>21470.782147845803</v>
      </c>
      <c r="AF25" s="233">
        <f t="shared" ref="AF25" si="16">AF24*0.15+AF24*AF16/132.3</f>
        <v>21488.596640362808</v>
      </c>
      <c r="AG25" s="233">
        <f t="shared" ref="AG25" si="17">AG24*0.15+AG24*AG16/132.3</f>
        <v>21506.411132879814</v>
      </c>
      <c r="AH25" s="233">
        <f t="shared" ref="AH25" si="18">AH24*0.15+AH24*AH16/132.3</f>
        <v>12473.914514285714</v>
      </c>
      <c r="AI25" s="233">
        <f t="shared" ref="AI25" si="19">AI24*0.15+AI24*AI16/132.3</f>
        <v>18660.012340136051</v>
      </c>
      <c r="AJ25" s="233">
        <f t="shared" ref="AJ25" si="20">AJ24*0.15+AJ24*AJ16/132.3</f>
        <v>12494.562546938776</v>
      </c>
      <c r="AK25" s="233">
        <f t="shared" ref="AK25" si="21">AK24*0.15+AK24*AK16/132.3</f>
        <v>12504.886563265307</v>
      </c>
      <c r="AL25" s="233">
        <f t="shared" ref="AL25" si="22">AL24*0.15+AL24*AL16/132.3</f>
        <v>12515.210579591838</v>
      </c>
      <c r="AM25" s="233">
        <f t="shared" ref="AM25" si="23">AM24*0.15+AM24*AM16/132.3</f>
        <v>12525.534595918367</v>
      </c>
      <c r="AN25" s="233">
        <f t="shared" ref="AN25" si="24">AN24*0.15+AN24*AN16/132.3</f>
        <v>12535.8586122449</v>
      </c>
      <c r="AO25" s="233">
        <f t="shared" ref="AO25" si="25">AO24*0.15+AO24*AO16/132.3</f>
        <v>18752.599295238091</v>
      </c>
      <c r="AP25" s="234">
        <f t="shared" ref="AP25" si="26">AP24*0.15+AP24*AP16/132.3</f>
        <v>12556.506644897961</v>
      </c>
      <c r="AQ25" s="233">
        <f t="shared" ref="AQ25" si="27">AQ24*0.15+AQ24*AQ16/132.3</f>
        <v>12566.830661224491</v>
      </c>
      <c r="AR25" s="233">
        <f t="shared" ref="AR25" si="28">AR24*0.15+AR24*AR16/132.3</f>
        <v>12577.15467755102</v>
      </c>
      <c r="AS25" s="233">
        <f t="shared" ref="AS25" si="29">AS24*0.15+AS24*AS16/132.3</f>
        <v>12587.478693877552</v>
      </c>
      <c r="AT25" s="233">
        <f t="shared" ref="AT25" si="30">AT24*0.15+AT24*AT16/132.3</f>
        <v>12597.802710204081</v>
      </c>
      <c r="AU25" s="233">
        <f t="shared" ref="AU25" si="31">AU24*0.15+AU24*AU16/132.3</f>
        <v>18845.186250340132</v>
      </c>
      <c r="AV25" s="233">
        <f t="shared" ref="AV25" si="32">AV24*0.15+AV24*AV16/132.3</f>
        <v>12618.450742857143</v>
      </c>
      <c r="AW25" s="233">
        <f t="shared" ref="AW25" si="33">AW24*0.15+AW24*AW16/132.3</f>
        <v>18876.04856870748</v>
      </c>
      <c r="AX25" s="234">
        <f t="shared" ref="AX25" si="34">AX24*0.15+AX24*AX16/132.3</f>
        <v>53865.750566893425</v>
      </c>
      <c r="AY25" s="233">
        <f t="shared" ref="AY25" si="35">AY24*0.15+AY24*AY16/132.3</f>
        <v>0</v>
      </c>
      <c r="AZ25" s="232"/>
      <c r="BA25" s="234">
        <f t="shared" ref="BA25" si="36">BA24*0.15+BA24*BA16/132.3</f>
        <v>12617.119047619046</v>
      </c>
      <c r="BD25" s="90"/>
      <c r="BE25" s="90"/>
    </row>
    <row r="26" spans="2:57" ht="24" customHeight="1">
      <c r="B26" s="250" t="s">
        <v>601</v>
      </c>
      <c r="C26" s="235"/>
      <c r="D26" s="236"/>
      <c r="E26" s="236"/>
      <c r="F26" s="236"/>
      <c r="G26" s="236"/>
      <c r="H26" s="236"/>
      <c r="I26" s="236"/>
      <c r="J26" s="236"/>
      <c r="K26" s="236"/>
      <c r="L26" s="274"/>
      <c r="M26" s="523">
        <f>SUM(M25:R25)</f>
        <v>372472.01451247162</v>
      </c>
      <c r="N26" s="524"/>
      <c r="O26" s="524"/>
      <c r="P26" s="524"/>
      <c r="Q26" s="524"/>
      <c r="R26" s="525"/>
      <c r="S26" s="520">
        <f>SUM(S25:AD25)</f>
        <v>246724.90838548754</v>
      </c>
      <c r="T26" s="521"/>
      <c r="U26" s="521"/>
      <c r="V26" s="521"/>
      <c r="W26" s="521"/>
      <c r="X26" s="521"/>
      <c r="Y26" s="521"/>
      <c r="Z26" s="521"/>
      <c r="AA26" s="521"/>
      <c r="AB26" s="521"/>
      <c r="AC26" s="521"/>
      <c r="AD26" s="522"/>
      <c r="AE26" s="514">
        <f>SUM(AE25:AP25)</f>
        <v>189484.8756136054</v>
      </c>
      <c r="AF26" s="515"/>
      <c r="AG26" s="515"/>
      <c r="AH26" s="515"/>
      <c r="AI26" s="515"/>
      <c r="AJ26" s="515"/>
      <c r="AK26" s="515"/>
      <c r="AL26" s="515"/>
      <c r="AM26" s="515"/>
      <c r="AN26" s="515"/>
      <c r="AO26" s="515"/>
      <c r="AP26" s="516"/>
      <c r="AQ26" s="517">
        <f>SUM(AQ25:AX25)</f>
        <v>154534.70287165532</v>
      </c>
      <c r="AR26" s="518"/>
      <c r="AS26" s="518"/>
      <c r="AT26" s="518"/>
      <c r="AU26" s="518"/>
      <c r="AV26" s="518"/>
      <c r="AW26" s="518"/>
      <c r="AX26" s="519"/>
      <c r="AY26" s="252"/>
      <c r="AZ26" s="253"/>
      <c r="BA26" s="254">
        <f>BA25</f>
        <v>12617.119047619046</v>
      </c>
    </row>
    <row r="27" spans="2:57" ht="24" customHeight="1">
      <c r="B27" s="251" t="s">
        <v>602</v>
      </c>
      <c r="C27" s="237">
        <f>SUM(M26:BA26)</f>
        <v>975833.6204308389</v>
      </c>
      <c r="D27" s="237"/>
      <c r="E27" s="237"/>
      <c r="F27" s="237"/>
      <c r="G27" s="237"/>
      <c r="H27" s="237"/>
      <c r="I27" s="237"/>
      <c r="J27" s="237"/>
      <c r="K27" s="237"/>
      <c r="L27" s="274"/>
      <c r="M27" s="530">
        <f>SUM(M26:BA26)</f>
        <v>975833.6204308389</v>
      </c>
      <c r="N27" s="531"/>
      <c r="O27" s="531"/>
      <c r="P27" s="531"/>
      <c r="Q27" s="531"/>
      <c r="R27" s="531"/>
      <c r="S27" s="531"/>
      <c r="T27" s="531"/>
      <c r="U27" s="531"/>
      <c r="V27" s="531"/>
      <c r="W27" s="531"/>
      <c r="X27" s="531"/>
      <c r="Y27" s="531"/>
      <c r="Z27" s="531"/>
      <c r="AA27" s="531"/>
      <c r="AB27" s="531"/>
      <c r="AC27" s="531"/>
      <c r="AD27" s="531"/>
      <c r="AE27" s="531"/>
      <c r="AF27" s="531"/>
      <c r="AG27" s="531"/>
      <c r="AH27" s="531"/>
      <c r="AI27" s="531"/>
      <c r="AJ27" s="531"/>
      <c r="AK27" s="531"/>
      <c r="AL27" s="531"/>
      <c r="AM27" s="531"/>
      <c r="AN27" s="531"/>
      <c r="AO27" s="531"/>
      <c r="AP27" s="531"/>
      <c r="AQ27" s="531"/>
      <c r="AR27" s="531"/>
      <c r="AS27" s="531"/>
      <c r="AT27" s="531"/>
      <c r="AU27" s="531"/>
      <c r="AV27" s="531"/>
      <c r="AW27" s="531"/>
      <c r="AX27" s="531"/>
      <c r="AY27" s="531"/>
      <c r="AZ27" s="531"/>
      <c r="BA27" s="532"/>
    </row>
    <row r="28" spans="2:57" ht="23.4" customHeight="1">
      <c r="B28" s="285"/>
      <c r="C28" s="286"/>
      <c r="D28" s="286"/>
      <c r="E28" s="286"/>
      <c r="F28" s="286"/>
      <c r="G28" s="286"/>
      <c r="H28" s="286"/>
      <c r="I28" s="286"/>
      <c r="J28" s="286"/>
      <c r="K28" s="286"/>
      <c r="L28" s="286"/>
      <c r="M28" s="286"/>
      <c r="N28" s="286"/>
      <c r="O28" s="286"/>
      <c r="P28" s="286"/>
      <c r="Q28" s="286"/>
      <c r="R28" s="286"/>
      <c r="S28" s="286"/>
      <c r="T28" s="286"/>
      <c r="U28" s="286"/>
      <c r="V28" s="286"/>
      <c r="W28" s="286"/>
      <c r="X28" s="286"/>
      <c r="Y28" s="286"/>
      <c r="Z28" s="286"/>
      <c r="AA28" s="286"/>
      <c r="AB28" s="286"/>
      <c r="AC28" s="286"/>
      <c r="AD28" s="286"/>
      <c r="AE28" s="286"/>
      <c r="AF28" s="286"/>
      <c r="AG28" s="286"/>
      <c r="AH28" s="286"/>
      <c r="AI28" s="286"/>
      <c r="AJ28" s="286"/>
      <c r="AK28" s="286"/>
      <c r="AL28" s="286"/>
      <c r="AM28" s="286"/>
      <c r="AN28" s="286"/>
      <c r="AO28" s="286"/>
      <c r="AP28" s="286"/>
      <c r="AQ28" s="286"/>
      <c r="AR28" s="286"/>
      <c r="AS28" s="286"/>
      <c r="AT28" s="286"/>
      <c r="AU28" s="286"/>
      <c r="AV28" s="286"/>
      <c r="AW28" s="286"/>
      <c r="AX28" s="286"/>
      <c r="AY28" s="286"/>
      <c r="AZ28" s="286"/>
      <c r="BA28" s="287"/>
    </row>
    <row r="29" spans="2:57" ht="57" customHeight="1">
      <c r="B29" s="506" t="s">
        <v>604</v>
      </c>
      <c r="C29" s="507"/>
      <c r="D29" s="507"/>
      <c r="E29" s="507"/>
      <c r="F29" s="507"/>
      <c r="G29" s="507"/>
      <c r="H29" s="507"/>
      <c r="I29" s="507"/>
      <c r="J29" s="507"/>
      <c r="K29" s="507"/>
      <c r="L29" s="507"/>
      <c r="M29" s="507"/>
      <c r="N29" s="507"/>
      <c r="O29" s="507"/>
      <c r="P29" s="507"/>
      <c r="Q29" s="507"/>
      <c r="R29" s="507"/>
      <c r="S29" s="507"/>
      <c r="T29" s="507"/>
      <c r="U29" s="507"/>
      <c r="V29" s="507"/>
      <c r="W29" s="507"/>
      <c r="X29" s="507"/>
      <c r="Y29" s="507"/>
      <c r="Z29" s="507"/>
      <c r="AA29" s="507"/>
      <c r="AB29" s="507"/>
      <c r="AC29" s="507"/>
      <c r="AD29" s="508"/>
      <c r="AE29" s="506" t="s">
        <v>605</v>
      </c>
      <c r="AF29" s="507"/>
      <c r="AG29" s="507"/>
      <c r="AH29" s="507"/>
      <c r="AI29" s="507"/>
      <c r="AJ29" s="507"/>
      <c r="AK29" s="507"/>
      <c r="AL29" s="507"/>
      <c r="AM29" s="507"/>
      <c r="AN29" s="507"/>
      <c r="AO29" s="507"/>
      <c r="AP29" s="507"/>
      <c r="AQ29" s="507"/>
      <c r="AR29" s="507"/>
      <c r="AS29" s="507"/>
      <c r="AT29" s="507"/>
      <c r="AU29" s="507"/>
      <c r="AV29" s="507"/>
      <c r="AW29" s="507"/>
      <c r="AX29" s="507"/>
      <c r="AY29" s="507"/>
      <c r="AZ29" s="507"/>
      <c r="BA29" s="508"/>
      <c r="BD29"/>
      <c r="BE29"/>
    </row>
    <row r="30" spans="2:57" s="90" customFormat="1" ht="22.2" customHeight="1">
      <c r="B30" s="526" t="s">
        <v>181</v>
      </c>
      <c r="C30" s="528" t="s">
        <v>222</v>
      </c>
      <c r="D30" s="542" t="s">
        <v>221</v>
      </c>
      <c r="E30" s="543"/>
      <c r="F30" s="543"/>
      <c r="G30" s="543"/>
      <c r="H30" s="543"/>
      <c r="I30" s="543"/>
      <c r="J30" s="543"/>
      <c r="K30" s="543"/>
      <c r="L30" s="291"/>
      <c r="M30" s="90" t="s">
        <v>589</v>
      </c>
      <c r="N30" s="90" t="s">
        <v>580</v>
      </c>
      <c r="O30" s="90" t="s">
        <v>581</v>
      </c>
      <c r="P30" s="90" t="s">
        <v>582</v>
      </c>
      <c r="Q30" s="90" t="s">
        <v>583</v>
      </c>
      <c r="R30" s="223" t="s">
        <v>584</v>
      </c>
      <c r="S30" s="90" t="s">
        <v>585</v>
      </c>
      <c r="T30" s="90" t="s">
        <v>586</v>
      </c>
      <c r="U30" s="90" t="s">
        <v>587</v>
      </c>
      <c r="V30" s="90" t="s">
        <v>588</v>
      </c>
      <c r="W30" s="90" t="s">
        <v>217</v>
      </c>
      <c r="X30" s="107" t="s">
        <v>216</v>
      </c>
      <c r="Y30" s="90" t="s">
        <v>182</v>
      </c>
      <c r="Z30" s="90" t="s">
        <v>183</v>
      </c>
      <c r="AA30" s="90" t="s">
        <v>184</v>
      </c>
      <c r="AB30" s="90" t="s">
        <v>189</v>
      </c>
      <c r="AC30" s="90" t="s">
        <v>190</v>
      </c>
      <c r="AD30" s="107" t="s">
        <v>191</v>
      </c>
      <c r="AE30" s="90" t="s">
        <v>192</v>
      </c>
      <c r="AF30" s="90" t="s">
        <v>193</v>
      </c>
      <c r="AG30" s="90" t="s">
        <v>194</v>
      </c>
      <c r="AH30" s="90" t="s">
        <v>195</v>
      </c>
      <c r="AI30" s="90" t="s">
        <v>196</v>
      </c>
      <c r="AJ30" s="90" t="s">
        <v>197</v>
      </c>
      <c r="AK30" s="90" t="s">
        <v>198</v>
      </c>
      <c r="AL30" s="90" t="s">
        <v>199</v>
      </c>
      <c r="AM30" s="90" t="s">
        <v>200</v>
      </c>
      <c r="AN30" s="90" t="s">
        <v>201</v>
      </c>
      <c r="AO30" s="90" t="s">
        <v>202</v>
      </c>
      <c r="AP30" s="107" t="s">
        <v>203</v>
      </c>
      <c r="AQ30" s="129" t="s">
        <v>204</v>
      </c>
      <c r="AR30" s="90" t="s">
        <v>205</v>
      </c>
      <c r="AS30" s="90" t="s">
        <v>206</v>
      </c>
      <c r="AT30" s="90" t="s">
        <v>207</v>
      </c>
      <c r="AU30" s="90" t="s">
        <v>208</v>
      </c>
      <c r="AV30" s="90" t="s">
        <v>209</v>
      </c>
      <c r="AW30" s="90" t="s">
        <v>210</v>
      </c>
      <c r="AX30" s="107" t="s">
        <v>211</v>
      </c>
      <c r="AY30" s="90" t="s">
        <v>212</v>
      </c>
      <c r="BA30" s="107"/>
    </row>
    <row r="31" spans="2:57" s="97" customFormat="1" ht="19.95" customHeight="1">
      <c r="B31" s="527"/>
      <c r="C31" s="529"/>
      <c r="D31" s="239" t="s">
        <v>30</v>
      </c>
      <c r="E31" s="239" t="s">
        <v>31</v>
      </c>
      <c r="F31" s="239" t="s">
        <v>33</v>
      </c>
      <c r="G31" s="239" t="s">
        <v>34</v>
      </c>
      <c r="H31" s="239" t="str">
        <f>B38</f>
        <v>Phase 5</v>
      </c>
      <c r="I31" s="239" t="str">
        <f>B39</f>
        <v>Réserves</v>
      </c>
      <c r="J31" s="239"/>
      <c r="K31" s="239"/>
      <c r="L31" s="292"/>
      <c r="M31" s="238"/>
      <c r="N31" s="238"/>
      <c r="O31" s="148">
        <v>45536</v>
      </c>
      <c r="P31" s="238"/>
      <c r="Q31" s="238"/>
      <c r="R31" s="292"/>
      <c r="S31" s="123">
        <v>45658</v>
      </c>
      <c r="T31" s="123">
        <v>45689</v>
      </c>
      <c r="U31" s="123">
        <v>45717</v>
      </c>
      <c r="V31" s="123">
        <v>45748</v>
      </c>
      <c r="W31" s="123">
        <v>45778</v>
      </c>
      <c r="X31" s="123">
        <v>45809</v>
      </c>
      <c r="Y31" s="123">
        <v>45839</v>
      </c>
      <c r="Z31" s="123">
        <v>45870</v>
      </c>
      <c r="AA31" s="123">
        <v>45901</v>
      </c>
      <c r="AB31" s="123">
        <v>45931</v>
      </c>
      <c r="AC31" s="123">
        <v>45962</v>
      </c>
      <c r="AD31" s="124">
        <v>45992</v>
      </c>
      <c r="AE31" s="108">
        <v>46023</v>
      </c>
      <c r="AF31" s="108">
        <v>46054</v>
      </c>
      <c r="AG31" s="108">
        <v>46082</v>
      </c>
      <c r="AH31" s="108">
        <v>46113</v>
      </c>
      <c r="AI31" s="108">
        <v>46143</v>
      </c>
      <c r="AJ31" s="108">
        <v>46174</v>
      </c>
      <c r="AK31" s="108">
        <v>46204</v>
      </c>
      <c r="AL31" s="108">
        <v>46235</v>
      </c>
      <c r="AM31" s="108">
        <v>46266</v>
      </c>
      <c r="AN31" s="108">
        <v>46296</v>
      </c>
      <c r="AO31" s="108">
        <v>46327</v>
      </c>
      <c r="AP31" s="109">
        <v>46357</v>
      </c>
      <c r="AQ31" s="147">
        <v>46388</v>
      </c>
      <c r="AR31" s="148">
        <v>46419</v>
      </c>
      <c r="AS31" s="148">
        <v>46447</v>
      </c>
      <c r="AT31" s="148">
        <v>46478</v>
      </c>
      <c r="AU31" s="148">
        <v>46508</v>
      </c>
      <c r="AV31" s="148">
        <v>46539</v>
      </c>
      <c r="AW31" s="148">
        <v>46569</v>
      </c>
      <c r="AX31" s="149">
        <v>46600</v>
      </c>
      <c r="AY31" s="148">
        <v>46631</v>
      </c>
      <c r="AZ31" s="148"/>
      <c r="BA31" s="149"/>
    </row>
    <row r="32" spans="2:57" s="6" customFormat="1" ht="6" hidden="1" customHeight="1" outlineLevel="1">
      <c r="B32" s="240"/>
      <c r="C32" s="152"/>
      <c r="D32" s="102"/>
      <c r="E32" s="102"/>
      <c r="F32" s="102"/>
      <c r="G32" s="102"/>
      <c r="H32" s="102"/>
      <c r="I32" s="102"/>
      <c r="J32" s="102"/>
      <c r="K32" s="102"/>
      <c r="L32" s="152"/>
      <c r="M32" s="102"/>
      <c r="N32" s="102"/>
      <c r="O32" s="102"/>
      <c r="P32" s="102"/>
      <c r="Q32" s="102"/>
      <c r="R32" s="152"/>
      <c r="S32" s="102"/>
      <c r="T32" s="102"/>
      <c r="U32" s="102"/>
      <c r="V32" s="102"/>
      <c r="W32" s="102"/>
      <c r="X32" s="152"/>
      <c r="Y32" s="103"/>
      <c r="Z32" s="103"/>
      <c r="AA32" s="103"/>
      <c r="AB32" s="103"/>
      <c r="AC32" s="103"/>
      <c r="AD32" s="110"/>
      <c r="AE32" s="103"/>
      <c r="AF32" s="103"/>
      <c r="AG32" s="103"/>
      <c r="AH32" s="103"/>
      <c r="AI32" s="103"/>
      <c r="AJ32" s="103"/>
      <c r="AK32" s="103"/>
      <c r="AL32" s="103"/>
      <c r="AM32" s="103"/>
      <c r="AN32" s="103"/>
      <c r="AO32" s="103"/>
      <c r="AP32" s="110"/>
      <c r="AQ32" s="130"/>
      <c r="AR32" s="103"/>
      <c r="AS32" s="103"/>
      <c r="AT32" s="103"/>
      <c r="AU32" s="103"/>
      <c r="AV32" s="103"/>
      <c r="AW32" s="103"/>
      <c r="AX32" s="110"/>
      <c r="AY32" s="103"/>
      <c r="AZ32" s="103"/>
      <c r="BA32" s="110"/>
      <c r="BB32" s="89"/>
      <c r="BC32" s="89"/>
      <c r="BD32" s="89"/>
    </row>
    <row r="33" spans="2:56" s="6" customFormat="1" hidden="1" outlineLevel="1">
      <c r="B33" s="241" t="s">
        <v>179</v>
      </c>
      <c r="C33" s="111"/>
      <c r="L33" s="293"/>
      <c r="R33" s="154"/>
      <c r="W33" s="280"/>
      <c r="X33" s="153" t="s">
        <v>218</v>
      </c>
      <c r="Y33" s="125">
        <v>0</v>
      </c>
      <c r="Z33" s="89"/>
      <c r="AA33" s="89"/>
      <c r="AB33" s="89"/>
      <c r="AC33" s="89"/>
      <c r="AD33" s="111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111"/>
      <c r="AQ33" s="131"/>
      <c r="AR33" s="89"/>
      <c r="AS33" s="89"/>
      <c r="AT33" s="89"/>
      <c r="AU33" s="89"/>
      <c r="AV33" s="89"/>
      <c r="AW33" s="89"/>
      <c r="AX33" s="111"/>
      <c r="AY33" s="89"/>
      <c r="AZ33" s="89"/>
      <c r="BA33" s="111"/>
      <c r="BB33" s="89"/>
      <c r="BC33" s="89"/>
      <c r="BD33" s="89"/>
    </row>
    <row r="34" spans="2:56" s="6" customFormat="1" hidden="1" outlineLevel="1">
      <c r="B34" s="241" t="s">
        <v>30</v>
      </c>
      <c r="C34" s="111"/>
      <c r="L34" s="293"/>
      <c r="R34" s="154"/>
      <c r="X34" s="154"/>
      <c r="Y34" s="126">
        <v>1</v>
      </c>
      <c r="Z34" s="126">
        <v>1</v>
      </c>
      <c r="AA34" s="126">
        <v>1</v>
      </c>
      <c r="AB34" s="126">
        <v>1</v>
      </c>
      <c r="AC34" s="126">
        <v>1</v>
      </c>
      <c r="AD34" s="111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111"/>
      <c r="AQ34" s="131"/>
      <c r="AR34" s="89"/>
      <c r="AS34" s="89"/>
      <c r="AT34" s="89"/>
      <c r="AU34" s="89"/>
      <c r="AV34" s="89"/>
      <c r="AW34" s="89"/>
      <c r="AX34" s="111"/>
      <c r="AY34" s="89"/>
      <c r="AZ34" s="89"/>
      <c r="BA34" s="111"/>
      <c r="BB34" s="89"/>
      <c r="BC34" s="89"/>
      <c r="BD34" s="89"/>
    </row>
    <row r="35" spans="2:56" s="6" customFormat="1" hidden="1" outlineLevel="1">
      <c r="B35" s="241" t="s">
        <v>31</v>
      </c>
      <c r="C35" s="111"/>
      <c r="L35" s="293"/>
      <c r="R35" s="154"/>
      <c r="X35" s="154"/>
      <c r="Y35" s="89"/>
      <c r="Z35" s="89"/>
      <c r="AA35" s="89"/>
      <c r="AB35" s="89"/>
      <c r="AC35" s="89"/>
      <c r="AD35" s="127">
        <v>2</v>
      </c>
      <c r="AE35" s="112">
        <v>2</v>
      </c>
      <c r="AF35" s="112">
        <v>2</v>
      </c>
      <c r="AG35" s="112">
        <v>2</v>
      </c>
      <c r="AH35" s="112">
        <v>2</v>
      </c>
      <c r="AI35" s="112">
        <v>2</v>
      </c>
      <c r="AJ35" s="89"/>
      <c r="AK35" s="89"/>
      <c r="AL35" s="89"/>
      <c r="AM35" s="89"/>
      <c r="AN35" s="89"/>
      <c r="AO35" s="89"/>
      <c r="AP35" s="111"/>
      <c r="AQ35" s="131"/>
      <c r="AR35" s="89"/>
      <c r="AS35" s="89"/>
      <c r="AT35" s="89"/>
      <c r="AU35" s="89"/>
      <c r="AV35" s="89"/>
      <c r="AW35" s="89"/>
      <c r="AX35" s="111"/>
      <c r="AY35" s="89"/>
      <c r="AZ35" s="89"/>
      <c r="BA35" s="111"/>
      <c r="BB35" s="89"/>
      <c r="BC35" s="89"/>
      <c r="BD35" s="89"/>
    </row>
    <row r="36" spans="2:56" s="6" customFormat="1" hidden="1" outlineLevel="1">
      <c r="B36" s="241" t="s">
        <v>33</v>
      </c>
      <c r="C36" s="111"/>
      <c r="L36" s="293"/>
      <c r="R36" s="154"/>
      <c r="X36" s="154"/>
      <c r="Y36" s="89"/>
      <c r="Z36" s="89"/>
      <c r="AA36" s="89"/>
      <c r="AB36" s="89"/>
      <c r="AC36" s="89"/>
      <c r="AD36" s="111"/>
      <c r="AE36" s="89"/>
      <c r="AF36" s="89"/>
      <c r="AG36" s="89"/>
      <c r="AH36" s="89"/>
      <c r="AI36" s="89"/>
      <c r="AJ36" s="113">
        <v>3</v>
      </c>
      <c r="AK36" s="113">
        <v>3</v>
      </c>
      <c r="AL36" s="113">
        <v>3</v>
      </c>
      <c r="AM36" s="113">
        <v>3</v>
      </c>
      <c r="AN36" s="113">
        <v>3</v>
      </c>
      <c r="AO36" s="113">
        <v>3</v>
      </c>
      <c r="AP36" s="111"/>
      <c r="AQ36" s="131"/>
      <c r="AR36" s="89"/>
      <c r="AS36" s="89"/>
      <c r="AT36" s="89"/>
      <c r="AU36" s="89"/>
      <c r="AV36" s="89"/>
      <c r="AW36" s="89"/>
      <c r="AX36" s="111"/>
      <c r="AY36" s="89"/>
      <c r="AZ36" s="89"/>
      <c r="BA36" s="111"/>
      <c r="BB36" s="89"/>
      <c r="BC36" s="89"/>
      <c r="BD36" s="89"/>
    </row>
    <row r="37" spans="2:56" s="6" customFormat="1" hidden="1" outlineLevel="1">
      <c r="B37" s="241" t="s">
        <v>34</v>
      </c>
      <c r="C37" s="111"/>
      <c r="L37" s="293"/>
      <c r="R37" s="154"/>
      <c r="X37" s="154"/>
      <c r="Y37" s="89"/>
      <c r="Z37" s="89"/>
      <c r="AA37" s="89"/>
      <c r="AB37" s="89"/>
      <c r="AC37" s="89"/>
      <c r="AD37" s="111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114">
        <v>4</v>
      </c>
      <c r="AQ37" s="132">
        <v>4</v>
      </c>
      <c r="AR37" s="133">
        <v>4</v>
      </c>
      <c r="AS37" s="133">
        <v>4</v>
      </c>
      <c r="AT37" s="133">
        <v>4</v>
      </c>
      <c r="AU37" s="133">
        <v>4</v>
      </c>
      <c r="AV37" s="89"/>
      <c r="AW37" s="89"/>
      <c r="AX37" s="111"/>
      <c r="AY37" s="89"/>
      <c r="AZ37" s="89"/>
      <c r="BA37" s="111"/>
      <c r="BB37" s="89"/>
      <c r="BC37" s="89"/>
      <c r="BD37" s="89"/>
    </row>
    <row r="38" spans="2:56" s="6" customFormat="1" hidden="1" outlineLevel="1">
      <c r="B38" s="241" t="s">
        <v>35</v>
      </c>
      <c r="C38" s="111"/>
      <c r="L38" s="293"/>
      <c r="R38" s="154"/>
      <c r="X38" s="154"/>
      <c r="Y38" s="89"/>
      <c r="Z38" s="89"/>
      <c r="AA38" s="89"/>
      <c r="AB38" s="89"/>
      <c r="AC38" s="89"/>
      <c r="AD38" s="111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111"/>
      <c r="AQ38" s="131"/>
      <c r="AR38" s="89"/>
      <c r="AS38" s="89"/>
      <c r="AT38" s="89"/>
      <c r="AU38" s="89"/>
      <c r="AV38" s="134">
        <v>5</v>
      </c>
      <c r="AW38" s="134">
        <v>5</v>
      </c>
      <c r="AX38" s="111"/>
      <c r="AY38" s="89"/>
      <c r="AZ38" s="89"/>
      <c r="BA38" s="111"/>
      <c r="BB38" s="89"/>
      <c r="BC38" s="89"/>
      <c r="BD38" s="89"/>
    </row>
    <row r="39" spans="2:56" s="6" customFormat="1" hidden="1" outlineLevel="1">
      <c r="B39" s="241" t="s">
        <v>180</v>
      </c>
      <c r="C39" s="111"/>
      <c r="L39" s="293"/>
      <c r="R39" s="154"/>
      <c r="X39" s="154"/>
      <c r="Y39" s="89"/>
      <c r="Z39" s="89"/>
      <c r="AA39" s="89"/>
      <c r="AB39" s="89"/>
      <c r="AC39" s="89"/>
      <c r="AD39" s="111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111"/>
      <c r="AQ39" s="131"/>
      <c r="AR39" s="89"/>
      <c r="AS39" s="89"/>
      <c r="AT39" s="89"/>
      <c r="AU39" s="89"/>
      <c r="AV39" s="89"/>
      <c r="AW39" s="89"/>
      <c r="AX39" s="135" t="s">
        <v>213</v>
      </c>
      <c r="AY39" s="242"/>
      <c r="AZ39" s="89"/>
      <c r="BA39" s="111"/>
      <c r="BB39" s="89"/>
      <c r="BC39" s="89"/>
      <c r="BD39" s="89"/>
    </row>
    <row r="40" spans="2:56" s="6" customFormat="1" ht="6" customHeight="1" collapsed="1">
      <c r="B40" s="240"/>
      <c r="C40" s="152"/>
      <c r="D40" s="102"/>
      <c r="E40" s="102"/>
      <c r="F40" s="102"/>
      <c r="G40" s="102"/>
      <c r="H40" s="102"/>
      <c r="I40" s="102"/>
      <c r="J40" s="102"/>
      <c r="K40" s="102"/>
      <c r="L40" s="152"/>
      <c r="M40" s="102"/>
      <c r="N40" s="102"/>
      <c r="O40" s="102"/>
      <c r="P40" s="102"/>
      <c r="Q40" s="102"/>
      <c r="R40" s="152"/>
      <c r="S40" s="102"/>
      <c r="T40" s="102"/>
      <c r="U40" s="102"/>
      <c r="V40" s="102"/>
      <c r="W40" s="102"/>
      <c r="X40" s="152"/>
      <c r="Y40" s="103"/>
      <c r="Z40" s="103"/>
      <c r="AA40" s="103"/>
      <c r="AB40" s="103"/>
      <c r="AC40" s="103"/>
      <c r="AD40" s="110"/>
      <c r="AE40" s="103"/>
      <c r="AF40" s="103"/>
      <c r="AG40" s="103"/>
      <c r="AH40" s="103"/>
      <c r="AI40" s="103"/>
      <c r="AJ40" s="103"/>
      <c r="AK40" s="103"/>
      <c r="AL40" s="103"/>
      <c r="AM40" s="103"/>
      <c r="AN40" s="103"/>
      <c r="AO40" s="103"/>
      <c r="AP40" s="110"/>
      <c r="AQ40" s="130"/>
      <c r="AR40" s="103"/>
      <c r="AS40" s="103"/>
      <c r="AT40" s="103"/>
      <c r="AU40" s="103"/>
      <c r="AV40" s="103"/>
      <c r="AW40" s="103"/>
      <c r="AX40" s="110"/>
      <c r="AY40" s="103"/>
      <c r="AZ40" s="103"/>
      <c r="BA40" s="110"/>
      <c r="BB40" s="89"/>
      <c r="BC40" s="89"/>
      <c r="BD40" s="89"/>
    </row>
    <row r="41" spans="2:56" s="6" customFormat="1" hidden="1" outlineLevel="1">
      <c r="B41" s="241" t="s">
        <v>220</v>
      </c>
      <c r="C41" s="111"/>
      <c r="J41" s="115"/>
      <c r="K41" s="115"/>
      <c r="L41" s="293"/>
      <c r="M41" s="115"/>
      <c r="N41" s="115"/>
      <c r="O41" s="115">
        <v>0</v>
      </c>
      <c r="P41" s="115"/>
      <c r="Q41" s="115"/>
      <c r="R41" s="116"/>
      <c r="S41" s="115"/>
      <c r="T41" s="115"/>
      <c r="U41" s="115"/>
      <c r="V41" s="115"/>
      <c r="W41" s="115"/>
      <c r="X41" s="116">
        <v>9</v>
      </c>
      <c r="Y41" s="115">
        <v>10</v>
      </c>
      <c r="Z41" s="115">
        <v>11</v>
      </c>
      <c r="AA41" s="115">
        <v>12</v>
      </c>
      <c r="AB41" s="115">
        <v>13</v>
      </c>
      <c r="AC41" s="115">
        <v>14</v>
      </c>
      <c r="AD41" s="116">
        <v>15</v>
      </c>
      <c r="AE41" s="115">
        <v>16</v>
      </c>
      <c r="AF41" s="115">
        <v>17</v>
      </c>
      <c r="AG41" s="115">
        <v>18</v>
      </c>
      <c r="AH41" s="115">
        <v>19</v>
      </c>
      <c r="AI41" s="115">
        <v>20</v>
      </c>
      <c r="AJ41" s="115">
        <v>21</v>
      </c>
      <c r="AK41" s="115">
        <v>22</v>
      </c>
      <c r="AL41" s="115">
        <v>23</v>
      </c>
      <c r="AM41" s="115">
        <v>24</v>
      </c>
      <c r="AN41" s="115">
        <v>25</v>
      </c>
      <c r="AO41" s="115">
        <v>26</v>
      </c>
      <c r="AP41" s="116">
        <v>27</v>
      </c>
      <c r="AQ41" s="136">
        <v>28</v>
      </c>
      <c r="AR41" s="115">
        <v>29</v>
      </c>
      <c r="AS41" s="115">
        <v>30</v>
      </c>
      <c r="AT41" s="115">
        <v>31</v>
      </c>
      <c r="AU41" s="115">
        <v>32</v>
      </c>
      <c r="AV41" s="115">
        <v>33</v>
      </c>
      <c r="AW41" s="115">
        <v>34</v>
      </c>
      <c r="AX41" s="116">
        <v>35</v>
      </c>
      <c r="AY41" s="115">
        <v>36</v>
      </c>
      <c r="AZ41" s="115">
        <v>37</v>
      </c>
      <c r="BA41" s="116"/>
      <c r="BB41" s="89"/>
      <c r="BC41" s="89"/>
      <c r="BD41" s="89"/>
    </row>
    <row r="42" spans="2:56" s="6" customFormat="1" collapsed="1">
      <c r="B42" s="241" t="s">
        <v>219</v>
      </c>
      <c r="C42" s="111"/>
      <c r="J42" s="117"/>
      <c r="K42" s="117"/>
      <c r="L42" s="293"/>
      <c r="M42" s="117"/>
      <c r="N42" s="117"/>
      <c r="O42" s="117">
        <f>0.1044*O41+131.57</f>
        <v>131.57</v>
      </c>
      <c r="P42" s="117"/>
      <c r="Q42" s="117"/>
      <c r="R42" s="118"/>
      <c r="S42" s="117"/>
      <c r="T42" s="117"/>
      <c r="U42" s="117"/>
      <c r="V42" s="117"/>
      <c r="W42" s="117"/>
      <c r="X42" s="118">
        <f>0.1044*X41+131.57</f>
        <v>132.50960000000001</v>
      </c>
      <c r="Y42" s="117">
        <f t="shared" ref="Y42:AZ42" si="37">0.1044*Y41+131.57</f>
        <v>132.614</v>
      </c>
      <c r="Z42" s="117">
        <f t="shared" si="37"/>
        <v>132.7184</v>
      </c>
      <c r="AA42" s="117">
        <f t="shared" si="37"/>
        <v>132.8228</v>
      </c>
      <c r="AB42" s="117">
        <f t="shared" si="37"/>
        <v>132.9272</v>
      </c>
      <c r="AC42" s="117">
        <f t="shared" si="37"/>
        <v>133.0316</v>
      </c>
      <c r="AD42" s="118">
        <f t="shared" si="37"/>
        <v>133.136</v>
      </c>
      <c r="AE42" s="117">
        <f t="shared" si="37"/>
        <v>133.24039999999999</v>
      </c>
      <c r="AF42" s="117">
        <f t="shared" si="37"/>
        <v>133.34479999999999</v>
      </c>
      <c r="AG42" s="117">
        <f t="shared" si="37"/>
        <v>133.44919999999999</v>
      </c>
      <c r="AH42" s="117">
        <f t="shared" si="37"/>
        <v>133.55359999999999</v>
      </c>
      <c r="AI42" s="117">
        <f t="shared" si="37"/>
        <v>133.65799999999999</v>
      </c>
      <c r="AJ42" s="117">
        <f t="shared" si="37"/>
        <v>133.76239999999999</v>
      </c>
      <c r="AK42" s="117">
        <f t="shared" si="37"/>
        <v>133.86679999999998</v>
      </c>
      <c r="AL42" s="117">
        <f t="shared" si="37"/>
        <v>133.97119999999998</v>
      </c>
      <c r="AM42" s="117">
        <f t="shared" si="37"/>
        <v>134.07559999999998</v>
      </c>
      <c r="AN42" s="117">
        <f t="shared" si="37"/>
        <v>134.18</v>
      </c>
      <c r="AO42" s="117">
        <f t="shared" si="37"/>
        <v>134.28440000000001</v>
      </c>
      <c r="AP42" s="118">
        <f t="shared" si="37"/>
        <v>134.3888</v>
      </c>
      <c r="AQ42" s="137">
        <f t="shared" si="37"/>
        <v>134.4932</v>
      </c>
      <c r="AR42" s="117">
        <f t="shared" si="37"/>
        <v>134.5976</v>
      </c>
      <c r="AS42" s="117">
        <f t="shared" si="37"/>
        <v>134.702</v>
      </c>
      <c r="AT42" s="117">
        <f t="shared" si="37"/>
        <v>134.8064</v>
      </c>
      <c r="AU42" s="117">
        <f t="shared" si="37"/>
        <v>134.91079999999999</v>
      </c>
      <c r="AV42" s="117">
        <f t="shared" si="37"/>
        <v>135.01519999999999</v>
      </c>
      <c r="AW42" s="117">
        <f t="shared" si="37"/>
        <v>135.11959999999999</v>
      </c>
      <c r="AX42" s="118">
        <f t="shared" si="37"/>
        <v>135.22399999999999</v>
      </c>
      <c r="AY42" s="117">
        <f t="shared" si="37"/>
        <v>135.32839999999999</v>
      </c>
      <c r="AZ42" s="117">
        <f t="shared" si="37"/>
        <v>135.43279999999999</v>
      </c>
      <c r="BA42" s="118"/>
      <c r="BB42" s="89"/>
      <c r="BC42" s="89"/>
      <c r="BD42" s="89"/>
    </row>
    <row r="43" spans="2:56" s="6" customFormat="1" ht="6" customHeight="1">
      <c r="B43" s="240"/>
      <c r="C43" s="152"/>
      <c r="D43" s="102"/>
      <c r="E43" s="102"/>
      <c r="F43" s="102"/>
      <c r="G43" s="102"/>
      <c r="H43" s="102"/>
      <c r="I43" s="102"/>
      <c r="J43" s="102"/>
      <c r="K43" s="102"/>
      <c r="L43" s="152"/>
      <c r="M43" s="102"/>
      <c r="N43" s="102"/>
      <c r="O43" s="102"/>
      <c r="P43" s="102"/>
      <c r="Q43" s="102"/>
      <c r="R43" s="152"/>
      <c r="S43" s="102"/>
      <c r="T43" s="102"/>
      <c r="U43" s="102"/>
      <c r="V43" s="102"/>
      <c r="W43" s="102"/>
      <c r="X43" s="152"/>
      <c r="Y43" s="103"/>
      <c r="Z43" s="103"/>
      <c r="AA43" s="103"/>
      <c r="AB43" s="103"/>
      <c r="AC43" s="103"/>
      <c r="AD43" s="110"/>
      <c r="AE43" s="103"/>
      <c r="AF43" s="103"/>
      <c r="AG43" s="103"/>
      <c r="AH43" s="103"/>
      <c r="AI43" s="103"/>
      <c r="AJ43" s="103"/>
      <c r="AK43" s="103"/>
      <c r="AL43" s="103"/>
      <c r="AM43" s="103"/>
      <c r="AN43" s="103"/>
      <c r="AO43" s="103"/>
      <c r="AP43" s="110"/>
      <c r="AQ43" s="130"/>
      <c r="AR43" s="103"/>
      <c r="AS43" s="103"/>
      <c r="AT43" s="103"/>
      <c r="AU43" s="103"/>
      <c r="AV43" s="103"/>
      <c r="AW43" s="103"/>
      <c r="AX43" s="110"/>
      <c r="AY43" s="103"/>
      <c r="AZ43" s="103"/>
      <c r="BA43" s="110"/>
      <c r="BB43" s="89"/>
      <c r="BC43" s="89"/>
      <c r="BD43" s="89"/>
    </row>
    <row r="44" spans="2:56" s="6" customFormat="1" ht="16.95" hidden="1" customHeight="1" outlineLevel="1">
      <c r="B44" s="243" t="str">
        <f>RECAP!B5</f>
        <v>LOT 01 - VRD et Espaces Verts</v>
      </c>
      <c r="C44" s="155">
        <f>RECAP!C5</f>
        <v>277999.09999999998</v>
      </c>
      <c r="D44" s="100">
        <f>RECAP!D5*0.95</f>
        <v>81771.819999999992</v>
      </c>
      <c r="E44" s="100">
        <f>RECAP!E5*0.95</f>
        <v>31422.674999999999</v>
      </c>
      <c r="F44" s="100">
        <f>RECAP!F5*0.95</f>
        <v>101006.565</v>
      </c>
      <c r="G44" s="100">
        <f>RECAP!G5*0.95</f>
        <v>48297.334999999999</v>
      </c>
      <c r="H44" s="100">
        <f>RECAP!H5*0.95</f>
        <v>1600.75</v>
      </c>
      <c r="I44" s="100">
        <f>C44*0.05</f>
        <v>13899.955</v>
      </c>
      <c r="J44" s="100"/>
      <c r="K44" s="100"/>
      <c r="L44" s="152"/>
      <c r="M44" s="100"/>
      <c r="N44" s="100"/>
      <c r="O44" s="100"/>
      <c r="P44" s="100"/>
      <c r="Q44" s="100"/>
      <c r="R44" s="155"/>
      <c r="S44" s="100"/>
      <c r="T44" s="100"/>
      <c r="U44" s="100"/>
      <c r="V44" s="100"/>
      <c r="W44" s="100"/>
      <c r="X44" s="155"/>
      <c r="Y44" s="101">
        <v>4</v>
      </c>
      <c r="Z44" s="101">
        <v>4</v>
      </c>
      <c r="AA44" s="101">
        <v>2</v>
      </c>
      <c r="AB44" s="101"/>
      <c r="AC44" s="119"/>
      <c r="AD44" s="119">
        <v>1</v>
      </c>
      <c r="AE44" s="101"/>
      <c r="AF44" s="101"/>
      <c r="AG44" s="101"/>
      <c r="AH44" s="101"/>
      <c r="AI44" s="119">
        <v>1</v>
      </c>
      <c r="AJ44" s="101">
        <v>2</v>
      </c>
      <c r="AK44" s="101">
        <v>1</v>
      </c>
      <c r="AL44" s="101"/>
      <c r="AM44" s="101"/>
      <c r="AN44" s="101"/>
      <c r="AO44" s="119">
        <v>1</v>
      </c>
      <c r="AP44" s="119">
        <v>2</v>
      </c>
      <c r="AQ44" s="138">
        <v>1</v>
      </c>
      <c r="AR44" s="101"/>
      <c r="AS44" s="101"/>
      <c r="AT44" s="101"/>
      <c r="AU44" s="119">
        <v>1</v>
      </c>
      <c r="AV44" s="101"/>
      <c r="AW44" s="119">
        <v>1</v>
      </c>
      <c r="AX44" s="119">
        <v>1</v>
      </c>
      <c r="AY44" s="101"/>
      <c r="AZ44" s="101"/>
      <c r="BA44" s="119"/>
      <c r="BB44" s="89"/>
      <c r="BC44" s="89"/>
      <c r="BD44" s="89"/>
    </row>
    <row r="45" spans="2:56" s="6" customFormat="1" ht="16.95" hidden="1" customHeight="1" outlineLevel="1">
      <c r="B45" s="245" t="str">
        <f>RECAP!B6</f>
        <v>LOT 02 - Fondations</v>
      </c>
      <c r="C45" s="156">
        <f>RECAP!C6</f>
        <v>117440</v>
      </c>
      <c r="D45" s="98">
        <f>RECAP!D6*0.95</f>
        <v>45554.875</v>
      </c>
      <c r="E45" s="98">
        <f>RECAP!E6*0.95</f>
        <v>38275.5</v>
      </c>
      <c r="F45" s="98">
        <f>RECAP!F6*0.95</f>
        <v>1543.75</v>
      </c>
      <c r="G45" s="98">
        <f>RECAP!G6*0.95</f>
        <v>26193.875</v>
      </c>
      <c r="H45" s="98">
        <f>RECAP!H6*0.95</f>
        <v>0</v>
      </c>
      <c r="I45" s="98">
        <f t="shared" ref="I45:I61" si="38">C45*0.05</f>
        <v>5872</v>
      </c>
      <c r="J45" s="98"/>
      <c r="K45" s="98"/>
      <c r="L45" s="152"/>
      <c r="M45" s="98"/>
      <c r="N45" s="98"/>
      <c r="O45" s="98"/>
      <c r="P45" s="98"/>
      <c r="Q45" s="98"/>
      <c r="R45" s="156"/>
      <c r="S45" s="98"/>
      <c r="T45" s="98"/>
      <c r="U45" s="98"/>
      <c r="V45" s="98"/>
      <c r="W45" s="98"/>
      <c r="X45" s="156"/>
      <c r="Y45" s="99"/>
      <c r="Z45" s="99">
        <v>1</v>
      </c>
      <c r="AA45" s="99"/>
      <c r="AB45" s="99"/>
      <c r="AC45" s="120"/>
      <c r="AD45" s="120">
        <v>1.5</v>
      </c>
      <c r="AE45" s="99"/>
      <c r="AF45" s="99"/>
      <c r="AG45" s="99"/>
      <c r="AH45" s="99"/>
      <c r="AI45" s="120"/>
      <c r="AJ45" s="99">
        <v>1</v>
      </c>
      <c r="AK45" s="99"/>
      <c r="AL45" s="99"/>
      <c r="AM45" s="99"/>
      <c r="AN45" s="99"/>
      <c r="AO45" s="120"/>
      <c r="AP45" s="120">
        <v>1</v>
      </c>
      <c r="AQ45" s="139"/>
      <c r="AR45" s="99"/>
      <c r="AS45" s="99"/>
      <c r="AT45" s="99"/>
      <c r="AU45" s="120"/>
      <c r="AV45" s="99"/>
      <c r="AW45" s="120">
        <v>1</v>
      </c>
      <c r="AX45" s="120">
        <v>1</v>
      </c>
      <c r="AY45" s="99"/>
      <c r="AZ45" s="99"/>
      <c r="BA45" s="120"/>
      <c r="BB45" s="89"/>
      <c r="BC45" s="89"/>
      <c r="BD45" s="89"/>
    </row>
    <row r="46" spans="2:56" s="6" customFormat="1" ht="16.95" hidden="1" customHeight="1" outlineLevel="1">
      <c r="B46" s="243" t="str">
        <f>RECAP!B7</f>
        <v>LOT 03 - Gros Œuvre</v>
      </c>
      <c r="C46" s="155">
        <f>RECAP!C7</f>
        <v>781819.49049799994</v>
      </c>
      <c r="D46" s="100">
        <f>RECAP!D7*0.95</f>
        <v>177785.32372850002</v>
      </c>
      <c r="E46" s="100">
        <f>RECAP!E7*0.95</f>
        <v>346971.32439179998</v>
      </c>
      <c r="F46" s="100">
        <f>RECAP!F7*0.95</f>
        <v>27464.746999999992</v>
      </c>
      <c r="G46" s="100">
        <f>RECAP!G7*0.95</f>
        <v>178051.36685279998</v>
      </c>
      <c r="H46" s="100">
        <f>RECAP!H7*0.95</f>
        <v>12455.754000000001</v>
      </c>
      <c r="I46" s="100">
        <f t="shared" si="38"/>
        <v>39090.974524899997</v>
      </c>
      <c r="J46" s="100"/>
      <c r="K46" s="100"/>
      <c r="L46" s="152"/>
      <c r="M46" s="100"/>
      <c r="N46" s="100"/>
      <c r="O46" s="100"/>
      <c r="P46" s="100"/>
      <c r="Q46" s="100"/>
      <c r="R46" s="155"/>
      <c r="S46" s="100"/>
      <c r="T46" s="100"/>
      <c r="U46" s="100"/>
      <c r="V46" s="100"/>
      <c r="W46" s="100"/>
      <c r="X46" s="155"/>
      <c r="Y46" s="101">
        <v>1</v>
      </c>
      <c r="Z46" s="101">
        <v>1</v>
      </c>
      <c r="AA46" s="101">
        <v>1</v>
      </c>
      <c r="AB46" s="101">
        <v>4</v>
      </c>
      <c r="AC46" s="119">
        <v>1</v>
      </c>
      <c r="AD46" s="119">
        <v>1</v>
      </c>
      <c r="AE46" s="101">
        <v>2</v>
      </c>
      <c r="AF46" s="101">
        <v>1</v>
      </c>
      <c r="AG46" s="101"/>
      <c r="AH46" s="101"/>
      <c r="AI46" s="119">
        <v>1</v>
      </c>
      <c r="AJ46" s="101">
        <v>4</v>
      </c>
      <c r="AK46" s="101">
        <v>4</v>
      </c>
      <c r="AL46" s="101">
        <v>1</v>
      </c>
      <c r="AM46" s="101"/>
      <c r="AN46" s="101"/>
      <c r="AO46" s="119">
        <v>1</v>
      </c>
      <c r="AP46" s="119">
        <v>4</v>
      </c>
      <c r="AQ46" s="138">
        <v>2</v>
      </c>
      <c r="AR46" s="101">
        <v>1</v>
      </c>
      <c r="AS46" s="101"/>
      <c r="AT46" s="101"/>
      <c r="AU46" s="119"/>
      <c r="AV46" s="101">
        <v>1</v>
      </c>
      <c r="AW46" s="119"/>
      <c r="AX46" s="119">
        <v>1</v>
      </c>
      <c r="AY46" s="101"/>
      <c r="AZ46" s="101"/>
      <c r="BA46" s="119"/>
      <c r="BB46" s="89"/>
      <c r="BC46" s="89"/>
      <c r="BD46" s="89"/>
    </row>
    <row r="47" spans="2:56" s="6" customFormat="1" ht="16.95" hidden="1" customHeight="1" outlineLevel="1">
      <c r="B47" s="245" t="str">
        <f>RECAP!B8</f>
        <v>LOT 04 - Etanchéité</v>
      </c>
      <c r="C47" s="156">
        <f>RECAP!C8</f>
        <v>132000</v>
      </c>
      <c r="D47" s="98">
        <f>RECAP!D8*0.95</f>
        <v>27233.003999999994</v>
      </c>
      <c r="E47" s="98">
        <f>RECAP!E8*0.95</f>
        <v>50732.365499999985</v>
      </c>
      <c r="F47" s="98">
        <f>RECAP!F8*0.95</f>
        <v>6920.8450000000003</v>
      </c>
      <c r="G47" s="98">
        <f>RECAP!G8*0.95</f>
        <v>40513.785499999998</v>
      </c>
      <c r="H47" s="98">
        <f>RECAP!H8*0.95</f>
        <v>0</v>
      </c>
      <c r="I47" s="98">
        <f t="shared" si="38"/>
        <v>6600</v>
      </c>
      <c r="J47" s="98"/>
      <c r="K47" s="98"/>
      <c r="L47" s="152"/>
      <c r="M47" s="98"/>
      <c r="N47" s="98"/>
      <c r="O47" s="98"/>
      <c r="P47" s="98"/>
      <c r="Q47" s="98"/>
      <c r="R47" s="156"/>
      <c r="S47" s="98"/>
      <c r="T47" s="98"/>
      <c r="U47" s="98"/>
      <c r="V47" s="98"/>
      <c r="W47" s="98"/>
      <c r="X47" s="156"/>
      <c r="Y47" s="99"/>
      <c r="Z47" s="99"/>
      <c r="AA47" s="99"/>
      <c r="AB47" s="99"/>
      <c r="AC47" s="120">
        <v>1</v>
      </c>
      <c r="AD47" s="120"/>
      <c r="AE47" s="99"/>
      <c r="AF47" s="99">
        <v>2</v>
      </c>
      <c r="AG47" s="99">
        <v>2</v>
      </c>
      <c r="AH47" s="99"/>
      <c r="AI47" s="120"/>
      <c r="AJ47" s="99"/>
      <c r="AK47" s="99"/>
      <c r="AL47" s="99">
        <v>2</v>
      </c>
      <c r="AM47" s="99">
        <v>2</v>
      </c>
      <c r="AN47" s="99"/>
      <c r="AO47" s="120"/>
      <c r="AP47" s="120"/>
      <c r="AQ47" s="139"/>
      <c r="AR47" s="99">
        <v>2</v>
      </c>
      <c r="AS47" s="99">
        <v>1</v>
      </c>
      <c r="AT47" s="99"/>
      <c r="AU47" s="120"/>
      <c r="AV47" s="99"/>
      <c r="AW47" s="120">
        <v>1</v>
      </c>
      <c r="AX47" s="120">
        <v>1</v>
      </c>
      <c r="AY47" s="99"/>
      <c r="AZ47" s="99"/>
      <c r="BA47" s="120"/>
      <c r="BB47" s="89"/>
      <c r="BC47" s="89"/>
      <c r="BD47" s="89"/>
    </row>
    <row r="48" spans="2:56" s="6" customFormat="1" ht="16.95" hidden="1" customHeight="1" outlineLevel="1">
      <c r="B48" s="243" t="str">
        <f>RECAP!B9</f>
        <v>LOT 05 - Façades</v>
      </c>
      <c r="C48" s="155">
        <f>RECAP!C9</f>
        <v>179999.995</v>
      </c>
      <c r="D48" s="100">
        <f>RECAP!D9*0.95</f>
        <v>24294.425999999999</v>
      </c>
      <c r="E48" s="100">
        <f>RECAP!E9*0.95</f>
        <v>52892.256999999998</v>
      </c>
      <c r="F48" s="100">
        <f>RECAP!F9*0.95</f>
        <v>45290.347500000003</v>
      </c>
      <c r="G48" s="100">
        <f>RECAP!G9*0.95</f>
        <v>48163.579750000004</v>
      </c>
      <c r="H48" s="100">
        <f>RECAP!H9*0.95</f>
        <v>359.38499999999993</v>
      </c>
      <c r="I48" s="100">
        <f t="shared" si="38"/>
        <v>8999.9997500000009</v>
      </c>
      <c r="J48" s="100"/>
      <c r="K48" s="100"/>
      <c r="L48" s="152"/>
      <c r="M48" s="100"/>
      <c r="N48" s="100"/>
      <c r="O48" s="100"/>
      <c r="P48" s="100"/>
      <c r="Q48" s="100"/>
      <c r="R48" s="155"/>
      <c r="S48" s="100"/>
      <c r="T48" s="100"/>
      <c r="U48" s="100"/>
      <c r="V48" s="100"/>
      <c r="W48" s="100"/>
      <c r="X48" s="155"/>
      <c r="Y48" s="101"/>
      <c r="Z48" s="101"/>
      <c r="AA48" s="101"/>
      <c r="AB48" s="101"/>
      <c r="AC48" s="119">
        <v>1</v>
      </c>
      <c r="AD48" s="119"/>
      <c r="AE48" s="101"/>
      <c r="AF48" s="101">
        <v>1</v>
      </c>
      <c r="AG48" s="101">
        <v>2</v>
      </c>
      <c r="AH48" s="101">
        <v>2</v>
      </c>
      <c r="AI48" s="119"/>
      <c r="AJ48" s="101"/>
      <c r="AK48" s="101"/>
      <c r="AL48" s="101">
        <v>2</v>
      </c>
      <c r="AM48" s="101">
        <v>2</v>
      </c>
      <c r="AN48" s="101"/>
      <c r="AO48" s="119"/>
      <c r="AP48" s="119"/>
      <c r="AQ48" s="138"/>
      <c r="AR48" s="101">
        <v>2</v>
      </c>
      <c r="AS48" s="101">
        <v>2</v>
      </c>
      <c r="AT48" s="101"/>
      <c r="AU48" s="119"/>
      <c r="AV48" s="101"/>
      <c r="AW48" s="119">
        <v>1</v>
      </c>
      <c r="AX48" s="119">
        <v>1</v>
      </c>
      <c r="AY48" s="101"/>
      <c r="AZ48" s="101"/>
      <c r="BA48" s="119"/>
      <c r="BB48" s="89"/>
      <c r="BC48" s="89"/>
      <c r="BD48" s="89"/>
    </row>
    <row r="49" spans="2:57" s="6" customFormat="1" ht="16.95" hidden="1" customHeight="1" outlineLevel="1">
      <c r="B49" s="245" t="str">
        <f>RECAP!B10</f>
        <v>LOT 06 - Menuiseries Extérieures</v>
      </c>
      <c r="C49" s="156">
        <f>RECAP!C10</f>
        <v>169400</v>
      </c>
      <c r="D49" s="98">
        <f>RECAP!D10*0.95</f>
        <v>23793.965999999997</v>
      </c>
      <c r="E49" s="98">
        <f>RECAP!E10*0.95</f>
        <v>61678.282599999999</v>
      </c>
      <c r="F49" s="98">
        <f>RECAP!F10*0.95</f>
        <v>17170.862399999998</v>
      </c>
      <c r="G49" s="98">
        <f>RECAP!G10*0.95</f>
        <v>50765.206999999995</v>
      </c>
      <c r="H49" s="98">
        <f>RECAP!H10*0.95</f>
        <v>7521.6819999999989</v>
      </c>
      <c r="I49" s="98">
        <f t="shared" si="38"/>
        <v>8470</v>
      </c>
      <c r="J49" s="98"/>
      <c r="K49" s="98"/>
      <c r="L49" s="152"/>
      <c r="M49" s="98"/>
      <c r="N49" s="98"/>
      <c r="O49" s="98"/>
      <c r="P49" s="98"/>
      <c r="Q49" s="98"/>
      <c r="R49" s="156"/>
      <c r="S49" s="98"/>
      <c r="T49" s="98"/>
      <c r="U49" s="98"/>
      <c r="V49" s="98"/>
      <c r="W49" s="98"/>
      <c r="X49" s="156"/>
      <c r="Y49" s="99"/>
      <c r="Z49" s="99"/>
      <c r="AA49" s="99"/>
      <c r="AB49" s="99"/>
      <c r="AC49" s="120">
        <v>1</v>
      </c>
      <c r="AD49" s="120"/>
      <c r="AE49" s="99">
        <v>0.5</v>
      </c>
      <c r="AF49" s="99">
        <v>1</v>
      </c>
      <c r="AG49" s="99">
        <v>0.5</v>
      </c>
      <c r="AH49" s="99"/>
      <c r="AI49" s="120"/>
      <c r="AJ49" s="99"/>
      <c r="AK49" s="99"/>
      <c r="AL49" s="99">
        <v>1</v>
      </c>
      <c r="AM49" s="99"/>
      <c r="AN49" s="99"/>
      <c r="AO49" s="120"/>
      <c r="AP49" s="120"/>
      <c r="AQ49" s="139"/>
      <c r="AR49" s="99">
        <v>1</v>
      </c>
      <c r="AS49" s="99"/>
      <c r="AT49" s="99"/>
      <c r="AU49" s="120"/>
      <c r="AV49" s="99">
        <v>1</v>
      </c>
      <c r="AW49" s="120"/>
      <c r="AX49" s="120">
        <v>1</v>
      </c>
      <c r="AY49" s="99"/>
      <c r="AZ49" s="99"/>
      <c r="BA49" s="120"/>
      <c r="BB49" s="89"/>
      <c r="BC49" s="89"/>
      <c r="BD49" s="89"/>
    </row>
    <row r="50" spans="2:57" s="6" customFormat="1" ht="16.95" hidden="1" customHeight="1" outlineLevel="1">
      <c r="B50" s="243" t="str">
        <f>RECAP!B11</f>
        <v>LOT 07 - Démolition et Curage</v>
      </c>
      <c r="C50" s="155">
        <f>RECAP!C11</f>
        <v>38125</v>
      </c>
      <c r="D50" s="100">
        <f>RECAP!D11*0.95</f>
        <v>3562.5</v>
      </c>
      <c r="E50" s="100">
        <f>RECAP!E11*0.95</f>
        <v>5700</v>
      </c>
      <c r="F50" s="100">
        <f>RECAP!F11*0.95</f>
        <v>7243.75</v>
      </c>
      <c r="G50" s="100">
        <f>RECAP!G11*0.95</f>
        <v>16625</v>
      </c>
      <c r="H50" s="100">
        <f>RECAP!H11*0.95</f>
        <v>3087.5</v>
      </c>
      <c r="I50" s="100">
        <f t="shared" si="38"/>
        <v>1906.25</v>
      </c>
      <c r="J50" s="100"/>
      <c r="K50" s="100"/>
      <c r="L50" s="152"/>
      <c r="M50" s="100"/>
      <c r="N50" s="100"/>
      <c r="O50" s="100"/>
      <c r="P50" s="100"/>
      <c r="Q50" s="100"/>
      <c r="R50" s="155"/>
      <c r="S50" s="100"/>
      <c r="T50" s="100"/>
      <c r="U50" s="100"/>
      <c r="V50" s="100"/>
      <c r="W50" s="100"/>
      <c r="X50" s="155"/>
      <c r="Y50" s="101">
        <v>1</v>
      </c>
      <c r="Z50" s="101"/>
      <c r="AA50" s="101"/>
      <c r="AB50" s="101"/>
      <c r="AC50" s="119"/>
      <c r="AD50" s="119">
        <v>1</v>
      </c>
      <c r="AE50" s="101"/>
      <c r="AF50" s="101"/>
      <c r="AG50" s="101"/>
      <c r="AH50" s="101"/>
      <c r="AI50" s="119"/>
      <c r="AJ50" s="101">
        <v>2</v>
      </c>
      <c r="AK50" s="101"/>
      <c r="AL50" s="101"/>
      <c r="AM50" s="101"/>
      <c r="AN50" s="101"/>
      <c r="AO50" s="119"/>
      <c r="AP50" s="119">
        <v>2</v>
      </c>
      <c r="AQ50" s="138"/>
      <c r="AR50" s="101"/>
      <c r="AS50" s="101"/>
      <c r="AT50" s="101"/>
      <c r="AU50" s="119"/>
      <c r="AV50" s="101">
        <v>1</v>
      </c>
      <c r="AW50" s="119"/>
      <c r="AX50" s="119">
        <v>1</v>
      </c>
      <c r="AY50" s="101"/>
      <c r="AZ50" s="101"/>
      <c r="BA50" s="119"/>
      <c r="BB50" s="89"/>
      <c r="BC50" s="89"/>
      <c r="BD50" s="89"/>
    </row>
    <row r="51" spans="2:57" s="6" customFormat="1" ht="16.95" hidden="1" customHeight="1" outlineLevel="1">
      <c r="B51" s="245" t="str">
        <f>RECAP!B12</f>
        <v>LOT 08 - Confinement, cloisonnement, doublage, Faux-plafond fixe, peinture</v>
      </c>
      <c r="C51" s="156">
        <f>RECAP!C12</f>
        <v>324986.7</v>
      </c>
      <c r="D51" s="98">
        <f>RECAP!D12*0.95</f>
        <v>19943.064999999999</v>
      </c>
      <c r="E51" s="98">
        <f>RECAP!E12*0.95</f>
        <v>80429.849999999991</v>
      </c>
      <c r="F51" s="98">
        <f>RECAP!F12*0.95</f>
        <v>80942.66</v>
      </c>
      <c r="G51" s="98">
        <f>RECAP!G12*0.95</f>
        <v>100552.18</v>
      </c>
      <c r="H51" s="98">
        <f>RECAP!H12*0.95</f>
        <v>26869.609999999997</v>
      </c>
      <c r="I51" s="98">
        <f t="shared" si="38"/>
        <v>16249.335000000001</v>
      </c>
      <c r="J51" s="98"/>
      <c r="K51" s="98"/>
      <c r="L51" s="152"/>
      <c r="M51" s="98"/>
      <c r="N51" s="98"/>
      <c r="O51" s="98"/>
      <c r="P51" s="98"/>
      <c r="Q51" s="98"/>
      <c r="R51" s="156"/>
      <c r="S51" s="98"/>
      <c r="T51" s="98"/>
      <c r="U51" s="98"/>
      <c r="V51" s="98"/>
      <c r="W51" s="98"/>
      <c r="X51" s="156"/>
      <c r="Y51" s="99"/>
      <c r="Z51" s="99">
        <v>2</v>
      </c>
      <c r="AA51" s="99">
        <v>2</v>
      </c>
      <c r="AB51" s="99"/>
      <c r="AC51" s="120"/>
      <c r="AD51" s="120"/>
      <c r="AE51" s="99">
        <v>1</v>
      </c>
      <c r="AF51" s="99">
        <v>2</v>
      </c>
      <c r="AG51" s="99">
        <v>2</v>
      </c>
      <c r="AH51" s="99">
        <v>2</v>
      </c>
      <c r="AI51" s="120">
        <v>1</v>
      </c>
      <c r="AJ51" s="99">
        <v>2</v>
      </c>
      <c r="AK51" s="99">
        <v>2</v>
      </c>
      <c r="AL51" s="99">
        <v>4</v>
      </c>
      <c r="AM51" s="99">
        <v>4</v>
      </c>
      <c r="AN51" s="99">
        <v>2</v>
      </c>
      <c r="AO51" s="120">
        <v>1</v>
      </c>
      <c r="AP51" s="120"/>
      <c r="AQ51" s="139"/>
      <c r="AR51" s="99">
        <v>2</v>
      </c>
      <c r="AS51" s="99">
        <v>2</v>
      </c>
      <c r="AT51" s="99">
        <v>1</v>
      </c>
      <c r="AU51" s="120"/>
      <c r="AV51" s="99">
        <v>1</v>
      </c>
      <c r="AW51" s="120"/>
      <c r="AX51" s="120">
        <v>1</v>
      </c>
      <c r="AY51" s="99"/>
      <c r="AZ51" s="99"/>
      <c r="BA51" s="120"/>
      <c r="BB51" s="89"/>
      <c r="BC51" s="89"/>
      <c r="BD51" s="89"/>
    </row>
    <row r="52" spans="2:57" s="6" customFormat="1" ht="16.95" hidden="1" customHeight="1" outlineLevel="1">
      <c r="B52" s="243" t="str">
        <f>RECAP!B13</f>
        <v>LOT 09 - Faux-plafond démontable</v>
      </c>
      <c r="C52" s="155">
        <f>RECAP!C13</f>
        <v>28800</v>
      </c>
      <c r="D52" s="100">
        <f>RECAP!D13*0.95</f>
        <v>2803.5259999999998</v>
      </c>
      <c r="E52" s="100">
        <f>RECAP!E13*0.95</f>
        <v>9044.9918000000016</v>
      </c>
      <c r="F52" s="100">
        <f>RECAP!F13*0.95</f>
        <v>7117.9395999999997</v>
      </c>
      <c r="G52" s="100">
        <f>RECAP!G13*0.95</f>
        <v>6887.2149999999992</v>
      </c>
      <c r="H52" s="100">
        <f>RECAP!H13*0.95</f>
        <v>1506.3275999999998</v>
      </c>
      <c r="I52" s="100">
        <f t="shared" si="38"/>
        <v>1440</v>
      </c>
      <c r="J52" s="100"/>
      <c r="K52" s="100"/>
      <c r="L52" s="152"/>
      <c r="M52" s="100"/>
      <c r="N52" s="100"/>
      <c r="O52" s="100"/>
      <c r="P52" s="100"/>
      <c r="Q52" s="100"/>
      <c r="R52" s="155"/>
      <c r="S52" s="100"/>
      <c r="T52" s="100"/>
      <c r="U52" s="100"/>
      <c r="V52" s="100"/>
      <c r="W52" s="100"/>
      <c r="X52" s="155"/>
      <c r="Y52" s="101"/>
      <c r="Z52" s="101"/>
      <c r="AA52" s="101">
        <v>1</v>
      </c>
      <c r="AB52" s="101"/>
      <c r="AC52" s="119"/>
      <c r="AD52" s="119"/>
      <c r="AE52" s="101"/>
      <c r="AF52" s="101"/>
      <c r="AG52" s="101">
        <v>1</v>
      </c>
      <c r="AH52" s="101">
        <v>2</v>
      </c>
      <c r="AI52" s="119"/>
      <c r="AJ52" s="101"/>
      <c r="AK52" s="101"/>
      <c r="AL52" s="101"/>
      <c r="AM52" s="101">
        <v>1</v>
      </c>
      <c r="AN52" s="101">
        <v>2</v>
      </c>
      <c r="AO52" s="119"/>
      <c r="AP52" s="119"/>
      <c r="AQ52" s="138"/>
      <c r="AR52" s="101"/>
      <c r="AS52" s="101">
        <v>1</v>
      </c>
      <c r="AT52" s="101">
        <v>2</v>
      </c>
      <c r="AU52" s="119"/>
      <c r="AV52" s="101">
        <v>0.5</v>
      </c>
      <c r="AW52" s="119">
        <v>0.5</v>
      </c>
      <c r="AX52" s="119">
        <v>1</v>
      </c>
      <c r="AY52" s="101"/>
      <c r="AZ52" s="101"/>
      <c r="BA52" s="119"/>
      <c r="BB52" s="89"/>
      <c r="BC52" s="89"/>
      <c r="BD52" s="89"/>
    </row>
    <row r="53" spans="2:57" s="6" customFormat="1" ht="16.95" hidden="1" customHeight="1" outlineLevel="1">
      <c r="B53" s="245" t="str">
        <f>RECAP!B14</f>
        <v>LOT 10 - Menuiseries Intérieures, mobilier, signalétique</v>
      </c>
      <c r="C53" s="156">
        <f>RECAP!C14</f>
        <v>357871.67</v>
      </c>
      <c r="D53" s="98">
        <f>RECAP!D14*0.95</f>
        <v>62504.129570000005</v>
      </c>
      <c r="E53" s="98">
        <f>RECAP!E14*0.95</f>
        <v>53420.910340000002</v>
      </c>
      <c r="F53" s="98">
        <f>RECAP!F14*0.95</f>
        <v>111337.14154499999</v>
      </c>
      <c r="G53" s="98">
        <f>RECAP!G14*0.95</f>
        <v>95940.488219999999</v>
      </c>
      <c r="H53" s="98">
        <f>RECAP!H14*0.95</f>
        <v>16775.416825000004</v>
      </c>
      <c r="I53" s="98">
        <f t="shared" si="38"/>
        <v>17893.583500000001</v>
      </c>
      <c r="J53" s="98"/>
      <c r="K53" s="98"/>
      <c r="L53" s="152"/>
      <c r="M53" s="98"/>
      <c r="N53" s="98"/>
      <c r="O53" s="98"/>
      <c r="P53" s="98"/>
      <c r="Q53" s="98"/>
      <c r="R53" s="156"/>
      <c r="S53" s="98"/>
      <c r="T53" s="98"/>
      <c r="U53" s="98"/>
      <c r="V53" s="98"/>
      <c r="W53" s="98"/>
      <c r="X53" s="156"/>
      <c r="Y53" s="99"/>
      <c r="Z53" s="99">
        <v>1</v>
      </c>
      <c r="AA53" s="99">
        <v>1</v>
      </c>
      <c r="AB53" s="99">
        <v>2</v>
      </c>
      <c r="AC53" s="120"/>
      <c r="AD53" s="120"/>
      <c r="AE53" s="99">
        <v>1</v>
      </c>
      <c r="AF53" s="99"/>
      <c r="AG53" s="99">
        <v>1</v>
      </c>
      <c r="AH53" s="99">
        <v>2</v>
      </c>
      <c r="AI53" s="120">
        <v>2</v>
      </c>
      <c r="AJ53" s="99">
        <v>1</v>
      </c>
      <c r="AK53" s="99"/>
      <c r="AL53" s="99"/>
      <c r="AM53" s="99">
        <v>2</v>
      </c>
      <c r="AN53" s="99">
        <v>4</v>
      </c>
      <c r="AO53" s="120">
        <v>4</v>
      </c>
      <c r="AP53" s="120">
        <v>2</v>
      </c>
      <c r="AQ53" s="139"/>
      <c r="AR53" s="99"/>
      <c r="AS53" s="99">
        <v>4</v>
      </c>
      <c r="AT53" s="99">
        <v>4</v>
      </c>
      <c r="AU53" s="120">
        <v>2</v>
      </c>
      <c r="AV53" s="99">
        <v>1</v>
      </c>
      <c r="AW53" s="120">
        <v>1</v>
      </c>
      <c r="AX53" s="120">
        <v>1</v>
      </c>
      <c r="AY53" s="99"/>
      <c r="AZ53" s="99"/>
      <c r="BA53" s="120"/>
      <c r="BB53" s="89"/>
      <c r="BC53" s="89"/>
      <c r="BD53" s="89"/>
    </row>
    <row r="54" spans="2:57" s="6" customFormat="1" ht="16.95" hidden="1" customHeight="1" outlineLevel="1">
      <c r="B54" s="243" t="str">
        <f>RECAP!B15</f>
        <v>LOT 11 - Sol souples</v>
      </c>
      <c r="C54" s="155">
        <f>RECAP!C15</f>
        <v>143241.5</v>
      </c>
      <c r="D54" s="100">
        <f>RECAP!D15*0.95</f>
        <v>6508.45</v>
      </c>
      <c r="E54" s="100">
        <f>RECAP!E15*0.95</f>
        <v>33250.379999999997</v>
      </c>
      <c r="F54" s="100">
        <f>RECAP!F15*0.95</f>
        <v>43514.464999999997</v>
      </c>
      <c r="G54" s="100">
        <f>RECAP!G15*0.95</f>
        <v>44755.26</v>
      </c>
      <c r="H54" s="100">
        <f>RECAP!H15*0.95</f>
        <v>8050.87</v>
      </c>
      <c r="I54" s="100">
        <f t="shared" si="38"/>
        <v>7162.0750000000007</v>
      </c>
      <c r="J54" s="100"/>
      <c r="K54" s="100"/>
      <c r="L54" s="152"/>
      <c r="M54" s="100"/>
      <c r="N54" s="100"/>
      <c r="O54" s="100"/>
      <c r="P54" s="100"/>
      <c r="Q54" s="100"/>
      <c r="R54" s="155"/>
      <c r="S54" s="100"/>
      <c r="T54" s="100"/>
      <c r="U54" s="100"/>
      <c r="V54" s="100"/>
      <c r="W54" s="100"/>
      <c r="X54" s="155"/>
      <c r="Y54" s="101"/>
      <c r="Z54" s="101"/>
      <c r="AA54" s="101">
        <v>1</v>
      </c>
      <c r="AB54" s="101"/>
      <c r="AC54" s="119"/>
      <c r="AD54" s="119"/>
      <c r="AE54" s="101"/>
      <c r="AF54" s="101"/>
      <c r="AG54" s="101">
        <v>1</v>
      </c>
      <c r="AH54" s="101">
        <v>2</v>
      </c>
      <c r="AI54" s="119">
        <v>1</v>
      </c>
      <c r="AJ54" s="101"/>
      <c r="AK54" s="101"/>
      <c r="AL54" s="101"/>
      <c r="AM54" s="101">
        <v>2</v>
      </c>
      <c r="AN54" s="101">
        <v>3</v>
      </c>
      <c r="AO54" s="119">
        <v>2</v>
      </c>
      <c r="AP54" s="119"/>
      <c r="AQ54" s="138"/>
      <c r="AR54" s="101"/>
      <c r="AS54" s="101">
        <v>1</v>
      </c>
      <c r="AT54" s="101">
        <v>2</v>
      </c>
      <c r="AU54" s="119">
        <v>1</v>
      </c>
      <c r="AV54" s="101"/>
      <c r="AW54" s="119">
        <v>1</v>
      </c>
      <c r="AX54" s="119">
        <v>1</v>
      </c>
      <c r="AY54" s="101"/>
      <c r="AZ54" s="101"/>
      <c r="BA54" s="119"/>
      <c r="BB54" s="89"/>
      <c r="BC54" s="89"/>
      <c r="BD54" s="89"/>
    </row>
    <row r="55" spans="2:57" s="6" customFormat="1" ht="16.95" hidden="1" customHeight="1" outlineLevel="1">
      <c r="B55" s="245" t="str">
        <f>RECAP!B16</f>
        <v>LOT 12 - Portes automatiques</v>
      </c>
      <c r="C55" s="156">
        <f>RECAP!C16</f>
        <v>84812</v>
      </c>
      <c r="D55" s="98">
        <f>RECAP!D16*0.95</f>
        <v>0</v>
      </c>
      <c r="E55" s="98">
        <f>RECAP!E16*0.95</f>
        <v>33736.400000000001</v>
      </c>
      <c r="F55" s="98">
        <f>RECAP!F16*0.95</f>
        <v>37167.799999999996</v>
      </c>
      <c r="G55" s="98">
        <f>RECAP!G16*0.95</f>
        <v>9667.1999999999989</v>
      </c>
      <c r="H55" s="98">
        <f>RECAP!H16*0.95</f>
        <v>0</v>
      </c>
      <c r="I55" s="98">
        <f t="shared" si="38"/>
        <v>4240.6000000000004</v>
      </c>
      <c r="J55" s="98"/>
      <c r="K55" s="98"/>
      <c r="L55" s="152"/>
      <c r="M55" s="98"/>
      <c r="N55" s="98"/>
      <c r="O55" s="98"/>
      <c r="P55" s="98"/>
      <c r="Q55" s="98"/>
      <c r="R55" s="156"/>
      <c r="S55" s="98"/>
      <c r="T55" s="98"/>
      <c r="U55" s="98"/>
      <c r="V55" s="98"/>
      <c r="W55" s="98"/>
      <c r="X55" s="156"/>
      <c r="Y55" s="99"/>
      <c r="Z55" s="99"/>
      <c r="AA55" s="99"/>
      <c r="AB55" s="99"/>
      <c r="AC55" s="120">
        <v>1</v>
      </c>
      <c r="AD55" s="120"/>
      <c r="AE55" s="99"/>
      <c r="AF55" s="99"/>
      <c r="AG55" s="99"/>
      <c r="AH55" s="99"/>
      <c r="AI55" s="120">
        <v>2</v>
      </c>
      <c r="AJ55" s="99"/>
      <c r="AK55" s="99"/>
      <c r="AL55" s="99"/>
      <c r="AM55" s="99"/>
      <c r="AN55" s="99">
        <v>1</v>
      </c>
      <c r="AO55" s="120">
        <v>4</v>
      </c>
      <c r="AP55" s="120"/>
      <c r="AQ55" s="139"/>
      <c r="AR55" s="99"/>
      <c r="AS55" s="99"/>
      <c r="AT55" s="99"/>
      <c r="AU55" s="120">
        <v>2</v>
      </c>
      <c r="AV55" s="99"/>
      <c r="AW55" s="120">
        <v>1</v>
      </c>
      <c r="AX55" s="120">
        <v>1</v>
      </c>
      <c r="AY55" s="99"/>
      <c r="AZ55" s="99"/>
      <c r="BA55" s="120"/>
      <c r="BB55" s="89"/>
      <c r="BC55" s="89"/>
      <c r="BD55" s="89"/>
    </row>
    <row r="56" spans="2:57" s="6" customFormat="1" ht="16.95" hidden="1" customHeight="1" outlineLevel="1">
      <c r="B56" s="243" t="str">
        <f>RECAP!B19</f>
        <v>LOT 13C - Fluides médicaux</v>
      </c>
      <c r="C56" s="155">
        <f>RECAP!C19</f>
        <v>77145</v>
      </c>
      <c r="D56" s="100">
        <f>RECAP!D19*0.95</f>
        <v>9888.5499999999993</v>
      </c>
      <c r="E56" s="100">
        <f>RECAP!E19*0.95</f>
        <v>15069.849999999999</v>
      </c>
      <c r="F56" s="100">
        <f>RECAP!F19*0.95</f>
        <v>17994.899999999998</v>
      </c>
      <c r="G56" s="100">
        <f>RECAP!G19*0.95</f>
        <v>28909.449999999997</v>
      </c>
      <c r="H56" s="100">
        <f>RECAP!H19*0.95</f>
        <v>1425</v>
      </c>
      <c r="I56" s="100">
        <f t="shared" si="38"/>
        <v>3857.25</v>
      </c>
      <c r="J56" s="100"/>
      <c r="K56" s="100"/>
      <c r="L56" s="152"/>
      <c r="M56" s="100"/>
      <c r="N56" s="100"/>
      <c r="O56" s="100"/>
      <c r="P56" s="100"/>
      <c r="Q56" s="100"/>
      <c r="R56" s="155"/>
      <c r="S56" s="100"/>
      <c r="T56" s="100"/>
      <c r="U56" s="100"/>
      <c r="V56" s="100"/>
      <c r="W56" s="100"/>
      <c r="X56" s="155"/>
      <c r="Y56" s="101"/>
      <c r="Z56" s="101"/>
      <c r="AA56" s="101"/>
      <c r="AB56" s="101">
        <v>1</v>
      </c>
      <c r="AC56" s="119">
        <v>1</v>
      </c>
      <c r="AD56" s="119"/>
      <c r="AE56" s="101"/>
      <c r="AF56" s="101">
        <v>1</v>
      </c>
      <c r="AG56" s="101">
        <v>1</v>
      </c>
      <c r="AH56" s="101">
        <v>1</v>
      </c>
      <c r="AI56" s="119">
        <v>2</v>
      </c>
      <c r="AJ56" s="101"/>
      <c r="AK56" s="101"/>
      <c r="AL56" s="101">
        <v>1</v>
      </c>
      <c r="AM56" s="101">
        <v>1</v>
      </c>
      <c r="AN56" s="101">
        <v>1</v>
      </c>
      <c r="AO56" s="119">
        <v>2</v>
      </c>
      <c r="AP56" s="119"/>
      <c r="AQ56" s="138"/>
      <c r="AR56" s="101">
        <v>1</v>
      </c>
      <c r="AS56" s="101">
        <v>1</v>
      </c>
      <c r="AT56" s="101">
        <v>1</v>
      </c>
      <c r="AU56" s="119">
        <v>2</v>
      </c>
      <c r="AV56" s="101">
        <v>1</v>
      </c>
      <c r="AW56" s="119">
        <v>1</v>
      </c>
      <c r="AX56" s="119">
        <v>1</v>
      </c>
      <c r="AY56" s="101"/>
      <c r="AZ56" s="101"/>
      <c r="BA56" s="119"/>
      <c r="BB56" s="89"/>
      <c r="BC56" s="89"/>
      <c r="BD56" s="89"/>
    </row>
    <row r="57" spans="2:57" s="6" customFormat="1" ht="16.95" hidden="1" customHeight="1" outlineLevel="1">
      <c r="B57" s="245" t="str">
        <f>RECAP!B18</f>
        <v>LOT 13B - Plomberie Sanitaires</v>
      </c>
      <c r="C57" s="156">
        <f>RECAP!C18</f>
        <v>159522</v>
      </c>
      <c r="D57" s="98">
        <f>RECAP!D18*0.95</f>
        <v>32167.189999999995</v>
      </c>
      <c r="E57" s="98">
        <f>RECAP!E18*0.95</f>
        <v>14969.244999999999</v>
      </c>
      <c r="F57" s="98">
        <f>RECAP!F18*0.95</f>
        <v>35627.945</v>
      </c>
      <c r="G57" s="98">
        <f>RECAP!G18*0.95</f>
        <v>55322.774999999994</v>
      </c>
      <c r="H57" s="98">
        <f>RECAP!H18*0.95</f>
        <v>13458.744999999999</v>
      </c>
      <c r="I57" s="98">
        <f t="shared" si="38"/>
        <v>7976.1</v>
      </c>
      <c r="J57" s="98"/>
      <c r="K57" s="98"/>
      <c r="L57" s="152"/>
      <c r="M57" s="98"/>
      <c r="N57" s="98"/>
      <c r="O57" s="98"/>
      <c r="P57" s="98"/>
      <c r="Q57" s="98"/>
      <c r="R57" s="156"/>
      <c r="S57" s="98"/>
      <c r="T57" s="98"/>
      <c r="U57" s="98"/>
      <c r="V57" s="98"/>
      <c r="W57" s="98"/>
      <c r="X57" s="156"/>
      <c r="Y57" s="99">
        <v>1</v>
      </c>
      <c r="Z57" s="99">
        <v>2</v>
      </c>
      <c r="AA57" s="99">
        <v>2</v>
      </c>
      <c r="AB57" s="99">
        <v>4</v>
      </c>
      <c r="AC57" s="120"/>
      <c r="AD57" s="120">
        <v>1</v>
      </c>
      <c r="AE57" s="99">
        <v>2</v>
      </c>
      <c r="AF57" s="99">
        <v>2</v>
      </c>
      <c r="AG57" s="99">
        <v>2</v>
      </c>
      <c r="AH57" s="99">
        <v>2</v>
      </c>
      <c r="AI57" s="120">
        <v>4</v>
      </c>
      <c r="AJ57" s="99">
        <v>1</v>
      </c>
      <c r="AK57" s="99">
        <v>2</v>
      </c>
      <c r="AL57" s="99">
        <v>2</v>
      </c>
      <c r="AM57" s="99">
        <v>2</v>
      </c>
      <c r="AN57" s="99">
        <v>2</v>
      </c>
      <c r="AO57" s="120">
        <v>4</v>
      </c>
      <c r="AP57" s="120">
        <v>1</v>
      </c>
      <c r="AQ57" s="139">
        <v>2</v>
      </c>
      <c r="AR57" s="99">
        <v>2</v>
      </c>
      <c r="AS57" s="99">
        <v>2</v>
      </c>
      <c r="AT57" s="99">
        <v>2</v>
      </c>
      <c r="AU57" s="120">
        <v>4</v>
      </c>
      <c r="AV57" s="99">
        <v>2</v>
      </c>
      <c r="AW57" s="120">
        <v>2</v>
      </c>
      <c r="AX57" s="120">
        <v>1</v>
      </c>
      <c r="AY57" s="99"/>
      <c r="AZ57" s="99"/>
      <c r="BA57" s="120"/>
      <c r="BB57" s="89"/>
      <c r="BC57" s="89"/>
      <c r="BD57" s="89"/>
    </row>
    <row r="58" spans="2:57" s="6" customFormat="1" ht="16.95" hidden="1" customHeight="1" outlineLevel="1">
      <c r="B58" s="243" t="str">
        <f>RECAP!B17</f>
        <v>LOT 13A - CVC et Désenfumage</v>
      </c>
      <c r="C58" s="155">
        <f>RECAP!C17</f>
        <v>576358.40000000002</v>
      </c>
      <c r="D58" s="100">
        <f>RECAP!D17*0.95</f>
        <v>57064.464339999999</v>
      </c>
      <c r="E58" s="100">
        <f>RECAP!E17*0.95</f>
        <v>174003.94635999997</v>
      </c>
      <c r="F58" s="100">
        <f>RECAP!F17*0.95</f>
        <v>137282.70564</v>
      </c>
      <c r="G58" s="100">
        <f>RECAP!G17*0.95</f>
        <v>160900.01724000004</v>
      </c>
      <c r="H58" s="100">
        <f>RECAP!H17*0.95</f>
        <v>18289.346420000002</v>
      </c>
      <c r="I58" s="100">
        <f t="shared" si="38"/>
        <v>28817.920000000002</v>
      </c>
      <c r="J58" s="100"/>
      <c r="K58" s="100"/>
      <c r="L58" s="152"/>
      <c r="M58" s="100"/>
      <c r="N58" s="100"/>
      <c r="O58" s="100"/>
      <c r="P58" s="100"/>
      <c r="Q58" s="100"/>
      <c r="R58" s="155"/>
      <c r="S58" s="100"/>
      <c r="T58" s="100"/>
      <c r="U58" s="100"/>
      <c r="V58" s="100"/>
      <c r="W58" s="100"/>
      <c r="X58" s="155"/>
      <c r="Y58" s="101"/>
      <c r="Z58" s="101"/>
      <c r="AA58" s="101"/>
      <c r="AB58" s="101">
        <v>1</v>
      </c>
      <c r="AC58" s="119">
        <v>1</v>
      </c>
      <c r="AD58" s="119"/>
      <c r="AE58" s="101">
        <v>1</v>
      </c>
      <c r="AF58" s="101">
        <v>2</v>
      </c>
      <c r="AG58" s="101">
        <v>2</v>
      </c>
      <c r="AH58" s="101"/>
      <c r="AI58" s="119">
        <v>2</v>
      </c>
      <c r="AJ58" s="101"/>
      <c r="AK58" s="101">
        <v>1</v>
      </c>
      <c r="AL58" s="101">
        <v>2</v>
      </c>
      <c r="AM58" s="101">
        <v>2</v>
      </c>
      <c r="AN58" s="101"/>
      <c r="AO58" s="119">
        <v>2</v>
      </c>
      <c r="AP58" s="119"/>
      <c r="AQ58" s="138">
        <v>1</v>
      </c>
      <c r="AR58" s="101">
        <v>2</v>
      </c>
      <c r="AS58" s="101">
        <v>2</v>
      </c>
      <c r="AT58" s="101"/>
      <c r="AU58" s="119">
        <v>2</v>
      </c>
      <c r="AV58" s="101">
        <v>2</v>
      </c>
      <c r="AW58" s="119">
        <v>2</v>
      </c>
      <c r="AX58" s="119">
        <v>1</v>
      </c>
      <c r="AY58" s="101"/>
      <c r="AZ58" s="101"/>
      <c r="BA58" s="119"/>
      <c r="BB58" s="89"/>
      <c r="BC58" s="89"/>
      <c r="BD58" s="89"/>
    </row>
    <row r="59" spans="2:57" s="6" customFormat="1" ht="16.95" hidden="1" customHeight="1" outlineLevel="1">
      <c r="B59" s="245" t="str">
        <f>RECAP!B20</f>
        <v>LOT 14A - CFO - CFA</v>
      </c>
      <c r="C59" s="156">
        <f>RECAP!C20</f>
        <v>575000.00299999991</v>
      </c>
      <c r="D59" s="98">
        <f>RECAP!D20*0.95</f>
        <v>147436.16105</v>
      </c>
      <c r="E59" s="98">
        <f>RECAP!E20*0.95</f>
        <v>74868.879649999988</v>
      </c>
      <c r="F59" s="98">
        <f>RECAP!F20*0.95</f>
        <v>92655.127349999995</v>
      </c>
      <c r="G59" s="98">
        <f>RECAP!G20*0.95</f>
        <v>195680.79099999997</v>
      </c>
      <c r="H59" s="98">
        <f>RECAP!H20*0.95</f>
        <v>35609.043800000007</v>
      </c>
      <c r="I59" s="98">
        <f t="shared" si="38"/>
        <v>28750.000149999996</v>
      </c>
      <c r="J59" s="98"/>
      <c r="K59" s="98"/>
      <c r="L59" s="152"/>
      <c r="M59" s="98"/>
      <c r="N59" s="98"/>
      <c r="O59" s="98"/>
      <c r="P59" s="98"/>
      <c r="Q59" s="98"/>
      <c r="R59" s="156"/>
      <c r="S59" s="98"/>
      <c r="T59" s="98"/>
      <c r="U59" s="98"/>
      <c r="V59" s="98"/>
      <c r="W59" s="98"/>
      <c r="X59" s="156"/>
      <c r="Y59" s="99">
        <v>1</v>
      </c>
      <c r="Z59" s="99">
        <v>2</v>
      </c>
      <c r="AA59" s="99">
        <v>2</v>
      </c>
      <c r="AB59" s="99">
        <v>4</v>
      </c>
      <c r="AC59" s="120"/>
      <c r="AD59" s="120">
        <v>1</v>
      </c>
      <c r="AE59" s="99">
        <v>2</v>
      </c>
      <c r="AF59" s="99">
        <v>2</v>
      </c>
      <c r="AG59" s="99">
        <v>2</v>
      </c>
      <c r="AH59" s="99">
        <v>2</v>
      </c>
      <c r="AI59" s="120">
        <v>4</v>
      </c>
      <c r="AJ59" s="99">
        <v>1</v>
      </c>
      <c r="AK59" s="99">
        <v>2</v>
      </c>
      <c r="AL59" s="99">
        <v>2</v>
      </c>
      <c r="AM59" s="99">
        <v>2</v>
      </c>
      <c r="AN59" s="99">
        <v>2</v>
      </c>
      <c r="AO59" s="120">
        <v>4</v>
      </c>
      <c r="AP59" s="120">
        <v>1</v>
      </c>
      <c r="AQ59" s="139">
        <v>2</v>
      </c>
      <c r="AR59" s="99">
        <v>2</v>
      </c>
      <c r="AS59" s="99">
        <v>2</v>
      </c>
      <c r="AT59" s="99">
        <v>2</v>
      </c>
      <c r="AU59" s="120">
        <v>4</v>
      </c>
      <c r="AV59" s="99">
        <v>2</v>
      </c>
      <c r="AW59" s="120">
        <v>2</v>
      </c>
      <c r="AX59" s="120">
        <v>1</v>
      </c>
      <c r="AY59" s="99"/>
      <c r="AZ59" s="99"/>
      <c r="BA59" s="120"/>
      <c r="BB59" s="89"/>
      <c r="BC59" s="89"/>
      <c r="BD59" s="89"/>
    </row>
    <row r="60" spans="2:57" s="6" customFormat="1" ht="16.95" hidden="1" customHeight="1" outlineLevel="1">
      <c r="B60" s="243" t="str">
        <f>RECAP!B21</f>
        <v>LOT 14B - Sureté</v>
      </c>
      <c r="C60" s="155">
        <f>RECAP!C21</f>
        <v>122000.00400000002</v>
      </c>
      <c r="D60" s="100">
        <f>RECAP!D21*0.95</f>
        <v>28822.957059999997</v>
      </c>
      <c r="E60" s="100">
        <f>RECAP!E21*0.95</f>
        <v>7086.0469600000006</v>
      </c>
      <c r="F60" s="100">
        <f>RECAP!F21*0.95</f>
        <v>39454.336760000006</v>
      </c>
      <c r="G60" s="100">
        <f>RECAP!G21*0.95</f>
        <v>26621.765259999996</v>
      </c>
      <c r="H60" s="100">
        <f>RECAP!H21*0.95</f>
        <v>13914.897759999998</v>
      </c>
      <c r="I60" s="100">
        <f t="shared" si="38"/>
        <v>6100.0002000000013</v>
      </c>
      <c r="J60" s="100"/>
      <c r="K60" s="100"/>
      <c r="L60" s="152"/>
      <c r="M60" s="100"/>
      <c r="N60" s="100"/>
      <c r="O60" s="100"/>
      <c r="P60" s="100"/>
      <c r="Q60" s="100"/>
      <c r="R60" s="155"/>
      <c r="S60" s="100"/>
      <c r="T60" s="100"/>
      <c r="U60" s="100"/>
      <c r="V60" s="100"/>
      <c r="W60" s="100"/>
      <c r="X60" s="155"/>
      <c r="Y60" s="101">
        <v>1</v>
      </c>
      <c r="Z60" s="101">
        <v>2</v>
      </c>
      <c r="AA60" s="101">
        <v>2</v>
      </c>
      <c r="AB60" s="101">
        <v>4</v>
      </c>
      <c r="AC60" s="119">
        <v>1</v>
      </c>
      <c r="AD60" s="119">
        <v>1</v>
      </c>
      <c r="AE60" s="101">
        <v>2</v>
      </c>
      <c r="AF60" s="101">
        <v>2</v>
      </c>
      <c r="AG60" s="101">
        <v>2</v>
      </c>
      <c r="AH60" s="101">
        <v>2</v>
      </c>
      <c r="AI60" s="119">
        <v>4</v>
      </c>
      <c r="AJ60" s="101">
        <v>1</v>
      </c>
      <c r="AK60" s="101">
        <v>2</v>
      </c>
      <c r="AL60" s="101">
        <v>2</v>
      </c>
      <c r="AM60" s="101">
        <v>2</v>
      </c>
      <c r="AN60" s="101">
        <v>2</v>
      </c>
      <c r="AO60" s="119">
        <v>4</v>
      </c>
      <c r="AP60" s="119">
        <v>1</v>
      </c>
      <c r="AQ60" s="138">
        <v>2</v>
      </c>
      <c r="AR60" s="101">
        <v>2</v>
      </c>
      <c r="AS60" s="101">
        <v>2</v>
      </c>
      <c r="AT60" s="101">
        <v>2</v>
      </c>
      <c r="AU60" s="119">
        <v>4</v>
      </c>
      <c r="AV60" s="101">
        <v>2</v>
      </c>
      <c r="AW60" s="119">
        <v>2</v>
      </c>
      <c r="AX60" s="119">
        <v>1</v>
      </c>
      <c r="AY60" s="101"/>
      <c r="AZ60" s="101"/>
      <c r="BA60" s="119"/>
      <c r="BB60" s="89"/>
      <c r="BC60" s="89"/>
      <c r="BD60" s="89"/>
    </row>
    <row r="61" spans="2:57" s="6" customFormat="1" ht="16.95" hidden="1" customHeight="1" outlineLevel="1">
      <c r="B61" s="245" t="str">
        <f>RECAP!B22</f>
        <v>LOT 15 - Nettoyage</v>
      </c>
      <c r="C61" s="156">
        <f>RECAP!C22</f>
        <v>15760</v>
      </c>
      <c r="D61" s="98">
        <f>RECAP!D22*0.95</f>
        <v>2014</v>
      </c>
      <c r="E61" s="98">
        <f>RECAP!E22*0.95</f>
        <v>3572</v>
      </c>
      <c r="F61" s="98">
        <f>RECAP!F22*0.95</f>
        <v>4560</v>
      </c>
      <c r="G61" s="98">
        <f>RECAP!G22*0.95</f>
        <v>4408</v>
      </c>
      <c r="H61" s="98">
        <f>RECAP!H22*0.95</f>
        <v>418</v>
      </c>
      <c r="I61" s="98">
        <f t="shared" si="38"/>
        <v>788</v>
      </c>
      <c r="J61" s="98"/>
      <c r="K61" s="98"/>
      <c r="L61" s="152"/>
      <c r="M61" s="98"/>
      <c r="N61" s="98"/>
      <c r="O61" s="98"/>
      <c r="P61" s="98"/>
      <c r="Q61" s="98"/>
      <c r="R61" s="156"/>
      <c r="S61" s="98"/>
      <c r="T61" s="98"/>
      <c r="U61" s="98"/>
      <c r="V61" s="98"/>
      <c r="W61" s="98"/>
      <c r="X61" s="156"/>
      <c r="Y61" s="99"/>
      <c r="Z61" s="99"/>
      <c r="AA61" s="99"/>
      <c r="AB61" s="99"/>
      <c r="AC61" s="120">
        <v>1</v>
      </c>
      <c r="AD61" s="120"/>
      <c r="AE61" s="99"/>
      <c r="AF61" s="99"/>
      <c r="AG61" s="99"/>
      <c r="AH61" s="99"/>
      <c r="AI61" s="120">
        <v>1</v>
      </c>
      <c r="AJ61" s="99"/>
      <c r="AK61" s="99"/>
      <c r="AL61" s="99"/>
      <c r="AM61" s="99"/>
      <c r="AN61" s="99"/>
      <c r="AO61" s="120">
        <v>1</v>
      </c>
      <c r="AP61" s="120"/>
      <c r="AQ61" s="139"/>
      <c r="AR61" s="99"/>
      <c r="AS61" s="99"/>
      <c r="AT61" s="99"/>
      <c r="AU61" s="120">
        <v>1</v>
      </c>
      <c r="AV61" s="99"/>
      <c r="AW61" s="120">
        <v>1</v>
      </c>
      <c r="AX61" s="120">
        <v>1</v>
      </c>
      <c r="AY61" s="99"/>
      <c r="AZ61" s="99"/>
      <c r="BA61" s="120"/>
      <c r="BB61" s="89"/>
      <c r="BC61" s="89"/>
      <c r="BD61" s="89" t="s">
        <v>395</v>
      </c>
      <c r="BE61" s="89" t="s">
        <v>396</v>
      </c>
    </row>
    <row r="62" spans="2:57" s="6" customFormat="1" ht="6" hidden="1" customHeight="1" outlineLevel="1">
      <c r="B62" s="240"/>
      <c r="C62" s="152"/>
      <c r="D62" s="102"/>
      <c r="E62" s="102"/>
      <c r="F62" s="102"/>
      <c r="G62" s="102"/>
      <c r="H62" s="102"/>
      <c r="I62" s="102"/>
      <c r="J62" s="102"/>
      <c r="K62" s="102"/>
      <c r="L62" s="152"/>
      <c r="M62" s="102"/>
      <c r="N62" s="102"/>
      <c r="O62" s="102"/>
      <c r="P62" s="102"/>
      <c r="Q62" s="102"/>
      <c r="R62" s="152"/>
      <c r="S62" s="102"/>
      <c r="T62" s="102"/>
      <c r="U62" s="102"/>
      <c r="V62" s="102"/>
      <c r="W62" s="102"/>
      <c r="X62" s="152"/>
      <c r="Y62" s="103"/>
      <c r="Z62" s="103"/>
      <c r="AA62" s="103"/>
      <c r="AB62" s="103"/>
      <c r="AC62" s="103"/>
      <c r="AD62" s="110"/>
      <c r="AE62" s="103"/>
      <c r="AF62" s="103"/>
      <c r="AG62" s="103"/>
      <c r="AH62" s="103"/>
      <c r="AI62" s="103"/>
      <c r="AJ62" s="103"/>
      <c r="AK62" s="103"/>
      <c r="AL62" s="103"/>
      <c r="AM62" s="103"/>
      <c r="AN62" s="103"/>
      <c r="AO62" s="103"/>
      <c r="AP62" s="110"/>
      <c r="AQ62" s="130"/>
      <c r="AR62" s="103"/>
      <c r="AS62" s="103"/>
      <c r="AT62" s="103"/>
      <c r="AU62" s="103"/>
      <c r="AV62" s="103"/>
      <c r="AW62" s="103"/>
      <c r="AX62" s="110"/>
      <c r="AY62" s="103"/>
      <c r="AZ62" s="103"/>
      <c r="BA62" s="110"/>
      <c r="BB62" s="89"/>
      <c r="BC62" s="89"/>
      <c r="BD62" s="278"/>
      <c r="BE62" s="194"/>
    </row>
    <row r="63" spans="2:57" s="6" customFormat="1" ht="16.95" customHeight="1" collapsed="1">
      <c r="B63" s="243" t="str">
        <f t="shared" ref="B63:I78" si="39">B44</f>
        <v>LOT 01 - VRD et Espaces Verts</v>
      </c>
      <c r="C63" s="155">
        <f t="shared" si="39"/>
        <v>277999.09999999998</v>
      </c>
      <c r="D63" s="100">
        <f t="shared" si="39"/>
        <v>81771.819999999992</v>
      </c>
      <c r="E63" s="100">
        <f t="shared" si="39"/>
        <v>31422.674999999999</v>
      </c>
      <c r="F63" s="100">
        <f t="shared" si="39"/>
        <v>101006.565</v>
      </c>
      <c r="G63" s="100">
        <f t="shared" si="39"/>
        <v>48297.334999999999</v>
      </c>
      <c r="H63" s="100">
        <f t="shared" si="39"/>
        <v>1600.75</v>
      </c>
      <c r="I63" s="100">
        <f t="shared" si="39"/>
        <v>13899.955</v>
      </c>
      <c r="J63" s="100"/>
      <c r="K63" s="100"/>
      <c r="L63" s="152"/>
      <c r="M63" s="100"/>
      <c r="N63" s="100"/>
      <c r="O63" s="100"/>
      <c r="P63" s="100"/>
      <c r="Q63" s="100"/>
      <c r="R63" s="155"/>
      <c r="S63" s="100"/>
      <c r="T63" s="100"/>
      <c r="U63" s="100"/>
      <c r="V63" s="100"/>
      <c r="W63" s="100"/>
      <c r="X63" s="155">
        <v>0</v>
      </c>
      <c r="Y63" s="106">
        <f t="shared" ref="Y63:AC72" si="40">IF(Y44="",0,$D44*Y44/SUM($Y44:$AC44))</f>
        <v>32708.727999999996</v>
      </c>
      <c r="Z63" s="106">
        <f t="shared" si="40"/>
        <v>32708.727999999996</v>
      </c>
      <c r="AA63" s="106">
        <f t="shared" si="40"/>
        <v>16354.363999999998</v>
      </c>
      <c r="AB63" s="106">
        <f t="shared" si="40"/>
        <v>0</v>
      </c>
      <c r="AC63" s="106">
        <f t="shared" si="40"/>
        <v>0</v>
      </c>
      <c r="AD63" s="128">
        <f t="shared" ref="AD63:AI72" si="41">IF(AD44="",0,$E44*AD44/SUM($AD44:$AI44))</f>
        <v>15711.3375</v>
      </c>
      <c r="AE63" s="106">
        <f t="shared" si="41"/>
        <v>0</v>
      </c>
      <c r="AF63" s="106">
        <f t="shared" si="41"/>
        <v>0</v>
      </c>
      <c r="AG63" s="106">
        <f t="shared" si="41"/>
        <v>0</v>
      </c>
      <c r="AH63" s="106">
        <f t="shared" si="41"/>
        <v>0</v>
      </c>
      <c r="AI63" s="106">
        <f t="shared" si="41"/>
        <v>15711.3375</v>
      </c>
      <c r="AJ63" s="104">
        <f t="shared" ref="AJ63:AO72" si="42">IF(AJ44="",0,$F44*AJ44/SUM($AJ44:$AO44))</f>
        <v>50503.282500000001</v>
      </c>
      <c r="AK63" s="104">
        <f t="shared" si="42"/>
        <v>25251.641250000001</v>
      </c>
      <c r="AL63" s="104">
        <f t="shared" si="42"/>
        <v>0</v>
      </c>
      <c r="AM63" s="104">
        <f t="shared" si="42"/>
        <v>0</v>
      </c>
      <c r="AN63" s="104">
        <f t="shared" si="42"/>
        <v>0</v>
      </c>
      <c r="AO63" s="104">
        <f t="shared" si="42"/>
        <v>25251.641250000001</v>
      </c>
      <c r="AP63" s="121">
        <f t="shared" ref="AP63:AU72" si="43">IF(AP44="",0,$G44*AP44/SUM($AP44:$AU44))</f>
        <v>24148.6675</v>
      </c>
      <c r="AQ63" s="140">
        <f t="shared" si="43"/>
        <v>12074.33375</v>
      </c>
      <c r="AR63" s="104">
        <f t="shared" si="43"/>
        <v>0</v>
      </c>
      <c r="AS63" s="104">
        <f t="shared" si="43"/>
        <v>0</v>
      </c>
      <c r="AT63" s="104">
        <f t="shared" si="43"/>
        <v>0</v>
      </c>
      <c r="AU63" s="104">
        <f t="shared" si="43"/>
        <v>12074.33375</v>
      </c>
      <c r="AV63" s="104">
        <f t="shared" ref="AV63:AW80" si="44">IF(AV44="",0,$H44*AV44/SUM($AV44:$AW44))</f>
        <v>0</v>
      </c>
      <c r="AW63" s="104">
        <f t="shared" si="44"/>
        <v>1600.75</v>
      </c>
      <c r="AX63" s="121">
        <f t="shared" ref="AX63:AX80" si="45">AX44*I44/AX44</f>
        <v>13899.955</v>
      </c>
      <c r="AY63" s="101"/>
      <c r="AZ63" s="101"/>
      <c r="BA63" s="121"/>
      <c r="BB63" s="89"/>
      <c r="BC63" s="89"/>
      <c r="BD63" s="279">
        <f>SUM(W63:AZ63)</f>
        <v>277999.09999999998</v>
      </c>
      <c r="BE63" s="193">
        <f t="shared" ref="BE63:BE80" si="46">C63-BD63</f>
        <v>0</v>
      </c>
    </row>
    <row r="64" spans="2:57" s="6" customFormat="1" ht="16.95" customHeight="1">
      <c r="B64" s="245" t="str">
        <f t="shared" si="39"/>
        <v>LOT 02 - Fondations</v>
      </c>
      <c r="C64" s="156">
        <f t="shared" si="39"/>
        <v>117440</v>
      </c>
      <c r="D64" s="98">
        <f t="shared" si="39"/>
        <v>45554.875</v>
      </c>
      <c r="E64" s="98">
        <f t="shared" si="39"/>
        <v>38275.5</v>
      </c>
      <c r="F64" s="98">
        <f t="shared" si="39"/>
        <v>1543.75</v>
      </c>
      <c r="G64" s="98">
        <f t="shared" si="39"/>
        <v>26193.875</v>
      </c>
      <c r="H64" s="98">
        <f t="shared" si="39"/>
        <v>0</v>
      </c>
      <c r="I64" s="98">
        <f t="shared" si="39"/>
        <v>5872</v>
      </c>
      <c r="J64" s="98"/>
      <c r="K64" s="98"/>
      <c r="L64" s="152"/>
      <c r="M64" s="98"/>
      <c r="N64" s="98"/>
      <c r="O64" s="98"/>
      <c r="P64" s="98"/>
      <c r="Q64" s="98"/>
      <c r="R64" s="156"/>
      <c r="S64" s="98"/>
      <c r="T64" s="98"/>
      <c r="U64" s="98"/>
      <c r="V64" s="98"/>
      <c r="W64" s="98"/>
      <c r="X64" s="156">
        <v>0</v>
      </c>
      <c r="Y64" s="105">
        <f t="shared" si="40"/>
        <v>0</v>
      </c>
      <c r="Z64" s="105">
        <f t="shared" si="40"/>
        <v>45554.875</v>
      </c>
      <c r="AA64" s="105">
        <f t="shared" si="40"/>
        <v>0</v>
      </c>
      <c r="AB64" s="105">
        <f t="shared" si="40"/>
        <v>0</v>
      </c>
      <c r="AC64" s="105">
        <f t="shared" si="40"/>
        <v>0</v>
      </c>
      <c r="AD64" s="122">
        <f t="shared" si="41"/>
        <v>38275.5</v>
      </c>
      <c r="AE64" s="105">
        <f t="shared" si="41"/>
        <v>0</v>
      </c>
      <c r="AF64" s="105">
        <f t="shared" si="41"/>
        <v>0</v>
      </c>
      <c r="AG64" s="105">
        <f t="shared" si="41"/>
        <v>0</v>
      </c>
      <c r="AH64" s="105">
        <f t="shared" si="41"/>
        <v>0</v>
      </c>
      <c r="AI64" s="105">
        <f t="shared" si="41"/>
        <v>0</v>
      </c>
      <c r="AJ64" s="105">
        <f t="shared" si="42"/>
        <v>1543.75</v>
      </c>
      <c r="AK64" s="105">
        <f t="shared" si="42"/>
        <v>0</v>
      </c>
      <c r="AL64" s="105">
        <f t="shared" si="42"/>
        <v>0</v>
      </c>
      <c r="AM64" s="105">
        <f t="shared" si="42"/>
        <v>0</v>
      </c>
      <c r="AN64" s="105">
        <f t="shared" si="42"/>
        <v>0</v>
      </c>
      <c r="AO64" s="105">
        <f t="shared" si="42"/>
        <v>0</v>
      </c>
      <c r="AP64" s="122">
        <f t="shared" si="43"/>
        <v>26193.875</v>
      </c>
      <c r="AQ64" s="141">
        <f t="shared" si="43"/>
        <v>0</v>
      </c>
      <c r="AR64" s="105">
        <f t="shared" si="43"/>
        <v>0</v>
      </c>
      <c r="AS64" s="105">
        <f t="shared" si="43"/>
        <v>0</v>
      </c>
      <c r="AT64" s="105">
        <f t="shared" si="43"/>
        <v>0</v>
      </c>
      <c r="AU64" s="105">
        <f t="shared" si="43"/>
        <v>0</v>
      </c>
      <c r="AV64" s="105">
        <f t="shared" si="44"/>
        <v>0</v>
      </c>
      <c r="AW64" s="105">
        <f t="shared" si="44"/>
        <v>0</v>
      </c>
      <c r="AX64" s="122">
        <f t="shared" si="45"/>
        <v>5872</v>
      </c>
      <c r="AY64" s="99"/>
      <c r="AZ64" s="99"/>
      <c r="BA64" s="122"/>
      <c r="BB64" s="89"/>
      <c r="BC64" s="89"/>
      <c r="BD64" s="279">
        <f t="shared" ref="BD64:BD80" si="47">SUM(W64:AZ64)</f>
        <v>117440</v>
      </c>
      <c r="BE64" s="193">
        <f t="shared" si="46"/>
        <v>0</v>
      </c>
    </row>
    <row r="65" spans="2:57" s="6" customFormat="1" ht="16.95" customHeight="1">
      <c r="B65" s="243" t="str">
        <f t="shared" si="39"/>
        <v>LOT 03 - Gros Œuvre</v>
      </c>
      <c r="C65" s="155">
        <f t="shared" si="39"/>
        <v>781819.49049799994</v>
      </c>
      <c r="D65" s="100">
        <f t="shared" si="39"/>
        <v>177785.32372850002</v>
      </c>
      <c r="E65" s="100">
        <f t="shared" si="39"/>
        <v>346971.32439179998</v>
      </c>
      <c r="F65" s="100">
        <f t="shared" si="39"/>
        <v>27464.746999999992</v>
      </c>
      <c r="G65" s="100">
        <f t="shared" si="39"/>
        <v>178051.36685279998</v>
      </c>
      <c r="H65" s="100">
        <f t="shared" si="39"/>
        <v>12455.754000000001</v>
      </c>
      <c r="I65" s="100">
        <f t="shared" si="39"/>
        <v>39090.974524899997</v>
      </c>
      <c r="J65" s="100"/>
      <c r="K65" s="100"/>
      <c r="L65" s="152"/>
      <c r="M65" s="100"/>
      <c r="N65" s="100"/>
      <c r="O65" s="100"/>
      <c r="P65" s="100"/>
      <c r="Q65" s="100"/>
      <c r="R65" s="155"/>
      <c r="S65" s="100"/>
      <c r="T65" s="100"/>
      <c r="U65" s="100"/>
      <c r="V65" s="100"/>
      <c r="W65" s="100"/>
      <c r="X65" s="155">
        <v>0</v>
      </c>
      <c r="Y65" s="106">
        <f t="shared" si="40"/>
        <v>22223.165466062503</v>
      </c>
      <c r="Z65" s="106">
        <f t="shared" si="40"/>
        <v>22223.165466062503</v>
      </c>
      <c r="AA65" s="106">
        <f t="shared" si="40"/>
        <v>22223.165466062503</v>
      </c>
      <c r="AB65" s="106">
        <f t="shared" si="40"/>
        <v>88892.661864250011</v>
      </c>
      <c r="AC65" s="106">
        <f t="shared" si="40"/>
        <v>22223.165466062503</v>
      </c>
      <c r="AD65" s="128">
        <f t="shared" si="41"/>
        <v>69394.264878360002</v>
      </c>
      <c r="AE65" s="106">
        <f t="shared" si="41"/>
        <v>138788.52975672</v>
      </c>
      <c r="AF65" s="106">
        <f t="shared" si="41"/>
        <v>69394.264878360002</v>
      </c>
      <c r="AG65" s="106">
        <f t="shared" si="41"/>
        <v>0</v>
      </c>
      <c r="AH65" s="106">
        <f t="shared" si="41"/>
        <v>0</v>
      </c>
      <c r="AI65" s="106">
        <f t="shared" si="41"/>
        <v>69394.264878360002</v>
      </c>
      <c r="AJ65" s="104">
        <f t="shared" si="42"/>
        <v>10985.898799999997</v>
      </c>
      <c r="AK65" s="104">
        <f t="shared" si="42"/>
        <v>10985.898799999997</v>
      </c>
      <c r="AL65" s="104">
        <f t="shared" si="42"/>
        <v>2746.4746999999993</v>
      </c>
      <c r="AM65" s="104">
        <f t="shared" si="42"/>
        <v>0</v>
      </c>
      <c r="AN65" s="104">
        <f t="shared" si="42"/>
        <v>0</v>
      </c>
      <c r="AO65" s="104">
        <f t="shared" si="42"/>
        <v>2746.4746999999993</v>
      </c>
      <c r="AP65" s="121">
        <f t="shared" si="43"/>
        <v>101743.63820159998</v>
      </c>
      <c r="AQ65" s="140">
        <f t="shared" si="43"/>
        <v>50871.819100799992</v>
      </c>
      <c r="AR65" s="104">
        <f t="shared" si="43"/>
        <v>25435.909550399996</v>
      </c>
      <c r="AS65" s="104">
        <f t="shared" si="43"/>
        <v>0</v>
      </c>
      <c r="AT65" s="104">
        <f t="shared" si="43"/>
        <v>0</v>
      </c>
      <c r="AU65" s="104">
        <f t="shared" si="43"/>
        <v>0</v>
      </c>
      <c r="AV65" s="104">
        <f t="shared" si="44"/>
        <v>12455.754000000001</v>
      </c>
      <c r="AW65" s="104">
        <f t="shared" si="44"/>
        <v>0</v>
      </c>
      <c r="AX65" s="121">
        <f t="shared" si="45"/>
        <v>39090.974524899997</v>
      </c>
      <c r="AY65" s="101"/>
      <c r="AZ65" s="101"/>
      <c r="BA65" s="121"/>
      <c r="BB65" s="89"/>
      <c r="BC65" s="89"/>
      <c r="BD65" s="279">
        <f t="shared" si="47"/>
        <v>781819.49049799971</v>
      </c>
      <c r="BE65" s="193">
        <f t="shared" si="46"/>
        <v>0</v>
      </c>
    </row>
    <row r="66" spans="2:57" s="6" customFormat="1" ht="16.95" customHeight="1">
      <c r="B66" s="245" t="str">
        <f t="shared" si="39"/>
        <v>LOT 04 - Etanchéité</v>
      </c>
      <c r="C66" s="156">
        <f t="shared" si="39"/>
        <v>132000</v>
      </c>
      <c r="D66" s="98">
        <f t="shared" si="39"/>
        <v>27233.003999999994</v>
      </c>
      <c r="E66" s="98">
        <f t="shared" si="39"/>
        <v>50732.365499999985</v>
      </c>
      <c r="F66" s="98">
        <f t="shared" si="39"/>
        <v>6920.8450000000003</v>
      </c>
      <c r="G66" s="98">
        <f t="shared" si="39"/>
        <v>40513.785499999998</v>
      </c>
      <c r="H66" s="98">
        <f t="shared" si="39"/>
        <v>0</v>
      </c>
      <c r="I66" s="98">
        <f t="shared" si="39"/>
        <v>6600</v>
      </c>
      <c r="J66" s="98"/>
      <c r="K66" s="98"/>
      <c r="L66" s="152"/>
      <c r="M66" s="98"/>
      <c r="N66" s="98"/>
      <c r="O66" s="98"/>
      <c r="P66" s="98"/>
      <c r="Q66" s="98"/>
      <c r="R66" s="156"/>
      <c r="S66" s="98"/>
      <c r="T66" s="98"/>
      <c r="U66" s="98"/>
      <c r="V66" s="98"/>
      <c r="W66" s="98"/>
      <c r="X66" s="156">
        <v>0</v>
      </c>
      <c r="Y66" s="105">
        <f t="shared" si="40"/>
        <v>0</v>
      </c>
      <c r="Z66" s="105">
        <f t="shared" si="40"/>
        <v>0</v>
      </c>
      <c r="AA66" s="105">
        <f t="shared" si="40"/>
        <v>0</v>
      </c>
      <c r="AB66" s="105">
        <f t="shared" si="40"/>
        <v>0</v>
      </c>
      <c r="AC66" s="105">
        <f t="shared" si="40"/>
        <v>27233.003999999994</v>
      </c>
      <c r="AD66" s="122">
        <f t="shared" si="41"/>
        <v>0</v>
      </c>
      <c r="AE66" s="105">
        <f t="shared" si="41"/>
        <v>0</v>
      </c>
      <c r="AF66" s="105">
        <f t="shared" si="41"/>
        <v>25366.182749999993</v>
      </c>
      <c r="AG66" s="105">
        <f t="shared" si="41"/>
        <v>25366.182749999993</v>
      </c>
      <c r="AH66" s="105">
        <f t="shared" si="41"/>
        <v>0</v>
      </c>
      <c r="AI66" s="105">
        <f t="shared" si="41"/>
        <v>0</v>
      </c>
      <c r="AJ66" s="105">
        <f t="shared" si="42"/>
        <v>0</v>
      </c>
      <c r="AK66" s="105">
        <f t="shared" si="42"/>
        <v>0</v>
      </c>
      <c r="AL66" s="105">
        <f t="shared" si="42"/>
        <v>3460.4225000000001</v>
      </c>
      <c r="AM66" s="105">
        <f t="shared" si="42"/>
        <v>3460.4225000000001</v>
      </c>
      <c r="AN66" s="105">
        <f t="shared" si="42"/>
        <v>0</v>
      </c>
      <c r="AO66" s="105">
        <f t="shared" si="42"/>
        <v>0</v>
      </c>
      <c r="AP66" s="122">
        <f t="shared" si="43"/>
        <v>0</v>
      </c>
      <c r="AQ66" s="141">
        <f t="shared" si="43"/>
        <v>0</v>
      </c>
      <c r="AR66" s="105">
        <f t="shared" si="43"/>
        <v>27009.190333333332</v>
      </c>
      <c r="AS66" s="105">
        <f t="shared" si="43"/>
        <v>13504.595166666666</v>
      </c>
      <c r="AT66" s="105">
        <f t="shared" si="43"/>
        <v>0</v>
      </c>
      <c r="AU66" s="105">
        <f t="shared" si="43"/>
        <v>0</v>
      </c>
      <c r="AV66" s="105">
        <f t="shared" si="44"/>
        <v>0</v>
      </c>
      <c r="AW66" s="105">
        <f t="shared" si="44"/>
        <v>0</v>
      </c>
      <c r="AX66" s="122">
        <f t="shared" si="45"/>
        <v>6600</v>
      </c>
      <c r="AY66" s="99"/>
      <c r="AZ66" s="99"/>
      <c r="BA66" s="122"/>
      <c r="BB66" s="89"/>
      <c r="BC66" s="89"/>
      <c r="BD66" s="279">
        <f t="shared" si="47"/>
        <v>131999.99999999997</v>
      </c>
      <c r="BE66" s="193">
        <f t="shared" si="46"/>
        <v>0</v>
      </c>
    </row>
    <row r="67" spans="2:57" s="6" customFormat="1" ht="16.95" customHeight="1">
      <c r="B67" s="243" t="str">
        <f t="shared" si="39"/>
        <v>LOT 05 - Façades</v>
      </c>
      <c r="C67" s="155">
        <f t="shared" si="39"/>
        <v>179999.995</v>
      </c>
      <c r="D67" s="100">
        <f t="shared" si="39"/>
        <v>24294.425999999999</v>
      </c>
      <c r="E67" s="100">
        <f t="shared" si="39"/>
        <v>52892.256999999998</v>
      </c>
      <c r="F67" s="100">
        <f t="shared" si="39"/>
        <v>45290.347500000003</v>
      </c>
      <c r="G67" s="100">
        <f t="shared" si="39"/>
        <v>48163.579750000004</v>
      </c>
      <c r="H67" s="100">
        <f t="shared" si="39"/>
        <v>359.38499999999993</v>
      </c>
      <c r="I67" s="100">
        <f t="shared" si="39"/>
        <v>8999.9997500000009</v>
      </c>
      <c r="J67" s="100"/>
      <c r="K67" s="100"/>
      <c r="L67" s="152"/>
      <c r="M67" s="100"/>
      <c r="N67" s="100"/>
      <c r="O67" s="100"/>
      <c r="P67" s="100"/>
      <c r="Q67" s="100"/>
      <c r="R67" s="155"/>
      <c r="S67" s="100"/>
      <c r="T67" s="100"/>
      <c r="U67" s="100"/>
      <c r="V67" s="100"/>
      <c r="W67" s="100"/>
      <c r="X67" s="155">
        <v>0</v>
      </c>
      <c r="Y67" s="106">
        <f t="shared" si="40"/>
        <v>0</v>
      </c>
      <c r="Z67" s="106">
        <f t="shared" si="40"/>
        <v>0</v>
      </c>
      <c r="AA67" s="106">
        <f t="shared" si="40"/>
        <v>0</v>
      </c>
      <c r="AB67" s="106">
        <f t="shared" si="40"/>
        <v>0</v>
      </c>
      <c r="AC67" s="106">
        <f t="shared" si="40"/>
        <v>24294.425999999999</v>
      </c>
      <c r="AD67" s="128">
        <f t="shared" si="41"/>
        <v>0</v>
      </c>
      <c r="AE67" s="106">
        <f t="shared" si="41"/>
        <v>0</v>
      </c>
      <c r="AF67" s="106">
        <f t="shared" si="41"/>
        <v>10578.4514</v>
      </c>
      <c r="AG67" s="106">
        <f t="shared" si="41"/>
        <v>21156.9028</v>
      </c>
      <c r="AH67" s="106">
        <f t="shared" si="41"/>
        <v>21156.9028</v>
      </c>
      <c r="AI67" s="106">
        <f t="shared" si="41"/>
        <v>0</v>
      </c>
      <c r="AJ67" s="104">
        <f t="shared" si="42"/>
        <v>0</v>
      </c>
      <c r="AK67" s="104">
        <f t="shared" si="42"/>
        <v>0</v>
      </c>
      <c r="AL67" s="104">
        <f t="shared" si="42"/>
        <v>22645.173750000002</v>
      </c>
      <c r="AM67" s="104">
        <f t="shared" si="42"/>
        <v>22645.173750000002</v>
      </c>
      <c r="AN67" s="104">
        <f t="shared" si="42"/>
        <v>0</v>
      </c>
      <c r="AO67" s="104">
        <f t="shared" si="42"/>
        <v>0</v>
      </c>
      <c r="AP67" s="121">
        <f t="shared" si="43"/>
        <v>0</v>
      </c>
      <c r="AQ67" s="140">
        <f t="shared" si="43"/>
        <v>0</v>
      </c>
      <c r="AR67" s="104">
        <f t="shared" si="43"/>
        <v>24081.789875000002</v>
      </c>
      <c r="AS67" s="104">
        <f t="shared" si="43"/>
        <v>24081.789875000002</v>
      </c>
      <c r="AT67" s="104">
        <f t="shared" si="43"/>
        <v>0</v>
      </c>
      <c r="AU67" s="104">
        <f t="shared" si="43"/>
        <v>0</v>
      </c>
      <c r="AV67" s="104">
        <f t="shared" si="44"/>
        <v>0</v>
      </c>
      <c r="AW67" s="104">
        <f t="shared" si="44"/>
        <v>359.38499999999993</v>
      </c>
      <c r="AX67" s="121">
        <f t="shared" si="45"/>
        <v>8999.9997500000009</v>
      </c>
      <c r="AY67" s="101"/>
      <c r="AZ67" s="101"/>
      <c r="BA67" s="121"/>
      <c r="BB67" s="89"/>
      <c r="BC67" s="89"/>
      <c r="BD67" s="279">
        <f t="shared" si="47"/>
        <v>179999.99500000002</v>
      </c>
      <c r="BE67" s="193">
        <f t="shared" si="46"/>
        <v>0</v>
      </c>
    </row>
    <row r="68" spans="2:57" s="6" customFormat="1" ht="16.95" customHeight="1">
      <c r="B68" s="245" t="str">
        <f t="shared" si="39"/>
        <v>LOT 06 - Menuiseries Extérieures</v>
      </c>
      <c r="C68" s="156">
        <f t="shared" si="39"/>
        <v>169400</v>
      </c>
      <c r="D68" s="98">
        <f t="shared" si="39"/>
        <v>23793.965999999997</v>
      </c>
      <c r="E68" s="98">
        <f t="shared" si="39"/>
        <v>61678.282599999999</v>
      </c>
      <c r="F68" s="98">
        <f t="shared" si="39"/>
        <v>17170.862399999998</v>
      </c>
      <c r="G68" s="98">
        <f t="shared" si="39"/>
        <v>50765.206999999995</v>
      </c>
      <c r="H68" s="98">
        <f t="shared" si="39"/>
        <v>7521.6819999999989</v>
      </c>
      <c r="I68" s="98">
        <f t="shared" si="39"/>
        <v>8470</v>
      </c>
      <c r="J68" s="98"/>
      <c r="K68" s="98"/>
      <c r="L68" s="152"/>
      <c r="M68" s="98"/>
      <c r="N68" s="98"/>
      <c r="O68" s="98"/>
      <c r="P68" s="98"/>
      <c r="Q68" s="98"/>
      <c r="R68" s="156"/>
      <c r="S68" s="98"/>
      <c r="T68" s="98"/>
      <c r="U68" s="98"/>
      <c r="V68" s="98"/>
      <c r="W68" s="98"/>
      <c r="X68" s="156">
        <v>0</v>
      </c>
      <c r="Y68" s="105">
        <f t="shared" si="40"/>
        <v>0</v>
      </c>
      <c r="Z68" s="105">
        <f t="shared" si="40"/>
        <v>0</v>
      </c>
      <c r="AA68" s="105">
        <f t="shared" si="40"/>
        <v>0</v>
      </c>
      <c r="AB68" s="105">
        <f t="shared" si="40"/>
        <v>0</v>
      </c>
      <c r="AC68" s="105">
        <f t="shared" si="40"/>
        <v>23793.965999999997</v>
      </c>
      <c r="AD68" s="122">
        <f t="shared" si="41"/>
        <v>0</v>
      </c>
      <c r="AE68" s="105">
        <f t="shared" si="41"/>
        <v>15419.57065</v>
      </c>
      <c r="AF68" s="105">
        <f t="shared" si="41"/>
        <v>30839.141299999999</v>
      </c>
      <c r="AG68" s="105">
        <f t="shared" si="41"/>
        <v>15419.57065</v>
      </c>
      <c r="AH68" s="105">
        <f t="shared" si="41"/>
        <v>0</v>
      </c>
      <c r="AI68" s="105">
        <f t="shared" si="41"/>
        <v>0</v>
      </c>
      <c r="AJ68" s="105">
        <f t="shared" si="42"/>
        <v>0</v>
      </c>
      <c r="AK68" s="105">
        <f t="shared" si="42"/>
        <v>0</v>
      </c>
      <c r="AL68" s="105">
        <f t="shared" si="42"/>
        <v>17170.862399999998</v>
      </c>
      <c r="AM68" s="105">
        <f t="shared" si="42"/>
        <v>0</v>
      </c>
      <c r="AN68" s="105">
        <f t="shared" si="42"/>
        <v>0</v>
      </c>
      <c r="AO68" s="105">
        <f t="shared" si="42"/>
        <v>0</v>
      </c>
      <c r="AP68" s="122">
        <f t="shared" si="43"/>
        <v>0</v>
      </c>
      <c r="AQ68" s="141">
        <f t="shared" si="43"/>
        <v>0</v>
      </c>
      <c r="AR68" s="105">
        <f t="shared" si="43"/>
        <v>50765.206999999995</v>
      </c>
      <c r="AS68" s="105">
        <f t="shared" si="43"/>
        <v>0</v>
      </c>
      <c r="AT68" s="105">
        <f t="shared" si="43"/>
        <v>0</v>
      </c>
      <c r="AU68" s="105">
        <f t="shared" si="43"/>
        <v>0</v>
      </c>
      <c r="AV68" s="105">
        <f t="shared" si="44"/>
        <v>7521.6819999999989</v>
      </c>
      <c r="AW68" s="105">
        <f t="shared" si="44"/>
        <v>0</v>
      </c>
      <c r="AX68" s="122">
        <f t="shared" si="45"/>
        <v>8470</v>
      </c>
      <c r="AY68" s="99"/>
      <c r="AZ68" s="99"/>
      <c r="BA68" s="122"/>
      <c r="BB68" s="89"/>
      <c r="BC68" s="89"/>
      <c r="BD68" s="279">
        <f t="shared" si="47"/>
        <v>169399.99999999997</v>
      </c>
      <c r="BE68" s="193">
        <f t="shared" si="46"/>
        <v>0</v>
      </c>
    </row>
    <row r="69" spans="2:57" s="6" customFormat="1" ht="16.95" customHeight="1">
      <c r="B69" s="243" t="str">
        <f t="shared" si="39"/>
        <v>LOT 07 - Démolition et Curage</v>
      </c>
      <c r="C69" s="155">
        <f t="shared" si="39"/>
        <v>38125</v>
      </c>
      <c r="D69" s="100">
        <f t="shared" si="39"/>
        <v>3562.5</v>
      </c>
      <c r="E69" s="100">
        <f t="shared" si="39"/>
        <v>5700</v>
      </c>
      <c r="F69" s="100">
        <f t="shared" si="39"/>
        <v>7243.75</v>
      </c>
      <c r="G69" s="100">
        <f t="shared" si="39"/>
        <v>16625</v>
      </c>
      <c r="H69" s="100">
        <f t="shared" si="39"/>
        <v>3087.5</v>
      </c>
      <c r="I69" s="100">
        <f t="shared" si="39"/>
        <v>1906.25</v>
      </c>
      <c r="J69" s="100"/>
      <c r="K69" s="100"/>
      <c r="L69" s="152"/>
      <c r="M69" s="100"/>
      <c r="N69" s="100"/>
      <c r="O69" s="100"/>
      <c r="P69" s="100"/>
      <c r="Q69" s="100"/>
      <c r="R69" s="155"/>
      <c r="S69" s="100"/>
      <c r="T69" s="100"/>
      <c r="U69" s="100"/>
      <c r="V69" s="100"/>
      <c r="W69" s="100"/>
      <c r="X69" s="155">
        <v>0</v>
      </c>
      <c r="Y69" s="106">
        <f t="shared" si="40"/>
        <v>3562.5</v>
      </c>
      <c r="Z69" s="106">
        <f t="shared" si="40"/>
        <v>0</v>
      </c>
      <c r="AA69" s="106">
        <f t="shared" si="40"/>
        <v>0</v>
      </c>
      <c r="AB69" s="106">
        <f t="shared" si="40"/>
        <v>0</v>
      </c>
      <c r="AC69" s="106">
        <f t="shared" si="40"/>
        <v>0</v>
      </c>
      <c r="AD69" s="128">
        <f t="shared" si="41"/>
        <v>5700</v>
      </c>
      <c r="AE69" s="106">
        <f t="shared" si="41"/>
        <v>0</v>
      </c>
      <c r="AF69" s="106">
        <f t="shared" si="41"/>
        <v>0</v>
      </c>
      <c r="AG69" s="106">
        <f t="shared" si="41"/>
        <v>0</v>
      </c>
      <c r="AH69" s="106">
        <f t="shared" si="41"/>
        <v>0</v>
      </c>
      <c r="AI69" s="106">
        <f t="shared" si="41"/>
        <v>0</v>
      </c>
      <c r="AJ69" s="104">
        <f t="shared" si="42"/>
        <v>7243.75</v>
      </c>
      <c r="AK69" s="104">
        <f t="shared" si="42"/>
        <v>0</v>
      </c>
      <c r="AL69" s="104">
        <f t="shared" si="42"/>
        <v>0</v>
      </c>
      <c r="AM69" s="104">
        <f t="shared" si="42"/>
        <v>0</v>
      </c>
      <c r="AN69" s="104">
        <f t="shared" si="42"/>
        <v>0</v>
      </c>
      <c r="AO69" s="104">
        <f t="shared" si="42"/>
        <v>0</v>
      </c>
      <c r="AP69" s="121">
        <f t="shared" si="43"/>
        <v>16625</v>
      </c>
      <c r="AQ69" s="140">
        <f t="shared" si="43"/>
        <v>0</v>
      </c>
      <c r="AR69" s="104">
        <f t="shared" si="43"/>
        <v>0</v>
      </c>
      <c r="AS69" s="104">
        <f t="shared" si="43"/>
        <v>0</v>
      </c>
      <c r="AT69" s="104">
        <f t="shared" si="43"/>
        <v>0</v>
      </c>
      <c r="AU69" s="104">
        <f t="shared" si="43"/>
        <v>0</v>
      </c>
      <c r="AV69" s="104">
        <f t="shared" si="44"/>
        <v>3087.5</v>
      </c>
      <c r="AW69" s="104">
        <f t="shared" si="44"/>
        <v>0</v>
      </c>
      <c r="AX69" s="121">
        <f t="shared" si="45"/>
        <v>1906.25</v>
      </c>
      <c r="AY69" s="101"/>
      <c r="AZ69" s="101"/>
      <c r="BA69" s="121"/>
      <c r="BB69" s="89"/>
      <c r="BC69" s="89"/>
      <c r="BD69" s="279">
        <f t="shared" si="47"/>
        <v>38125</v>
      </c>
      <c r="BE69" s="193">
        <f t="shared" si="46"/>
        <v>0</v>
      </c>
    </row>
    <row r="70" spans="2:57" s="6" customFormat="1" ht="16.95" customHeight="1">
      <c r="B70" s="245" t="str">
        <f t="shared" si="39"/>
        <v>LOT 08 - Confinement, cloisonnement, doublage, Faux-plafond fixe, peinture</v>
      </c>
      <c r="C70" s="156">
        <f t="shared" si="39"/>
        <v>324986.7</v>
      </c>
      <c r="D70" s="98">
        <f t="shared" si="39"/>
        <v>19943.064999999999</v>
      </c>
      <c r="E70" s="98">
        <f t="shared" si="39"/>
        <v>80429.849999999991</v>
      </c>
      <c r="F70" s="98">
        <f t="shared" si="39"/>
        <v>80942.66</v>
      </c>
      <c r="G70" s="98">
        <f t="shared" si="39"/>
        <v>100552.18</v>
      </c>
      <c r="H70" s="98">
        <f t="shared" si="39"/>
        <v>26869.609999999997</v>
      </c>
      <c r="I70" s="98">
        <f t="shared" si="39"/>
        <v>16249.335000000001</v>
      </c>
      <c r="J70" s="98"/>
      <c r="K70" s="98"/>
      <c r="L70" s="152"/>
      <c r="M70" s="98"/>
      <c r="N70" s="98"/>
      <c r="O70" s="98"/>
      <c r="P70" s="98"/>
      <c r="Q70" s="98"/>
      <c r="R70" s="156"/>
      <c r="S70" s="98"/>
      <c r="T70" s="98"/>
      <c r="U70" s="98"/>
      <c r="V70" s="98"/>
      <c r="W70" s="98"/>
      <c r="X70" s="156">
        <v>0</v>
      </c>
      <c r="Y70" s="105">
        <f t="shared" si="40"/>
        <v>0</v>
      </c>
      <c r="Z70" s="105">
        <f t="shared" si="40"/>
        <v>9971.5324999999993</v>
      </c>
      <c r="AA70" s="105">
        <f t="shared" si="40"/>
        <v>9971.5324999999993</v>
      </c>
      <c r="AB70" s="105">
        <f t="shared" si="40"/>
        <v>0</v>
      </c>
      <c r="AC70" s="105">
        <f t="shared" si="40"/>
        <v>0</v>
      </c>
      <c r="AD70" s="122">
        <f t="shared" si="41"/>
        <v>0</v>
      </c>
      <c r="AE70" s="105">
        <f t="shared" si="41"/>
        <v>10053.731249999999</v>
      </c>
      <c r="AF70" s="105">
        <f t="shared" si="41"/>
        <v>20107.462499999998</v>
      </c>
      <c r="AG70" s="105">
        <f t="shared" si="41"/>
        <v>20107.462499999998</v>
      </c>
      <c r="AH70" s="105">
        <f t="shared" si="41"/>
        <v>20107.462499999998</v>
      </c>
      <c r="AI70" s="105">
        <f t="shared" si="41"/>
        <v>10053.731249999999</v>
      </c>
      <c r="AJ70" s="105">
        <f t="shared" si="42"/>
        <v>10792.354666666668</v>
      </c>
      <c r="AK70" s="105">
        <f t="shared" si="42"/>
        <v>10792.354666666668</v>
      </c>
      <c r="AL70" s="105">
        <f t="shared" si="42"/>
        <v>21584.709333333336</v>
      </c>
      <c r="AM70" s="105">
        <f t="shared" si="42"/>
        <v>21584.709333333336</v>
      </c>
      <c r="AN70" s="105">
        <f t="shared" si="42"/>
        <v>10792.354666666668</v>
      </c>
      <c r="AO70" s="105">
        <f t="shared" si="42"/>
        <v>5396.177333333334</v>
      </c>
      <c r="AP70" s="122">
        <f t="shared" si="43"/>
        <v>0</v>
      </c>
      <c r="AQ70" s="141">
        <f t="shared" si="43"/>
        <v>0</v>
      </c>
      <c r="AR70" s="105">
        <f t="shared" si="43"/>
        <v>40220.871999999996</v>
      </c>
      <c r="AS70" s="105">
        <f t="shared" si="43"/>
        <v>40220.871999999996</v>
      </c>
      <c r="AT70" s="105">
        <f t="shared" si="43"/>
        <v>20110.435999999998</v>
      </c>
      <c r="AU70" s="105">
        <f t="shared" si="43"/>
        <v>0</v>
      </c>
      <c r="AV70" s="105">
        <f t="shared" si="44"/>
        <v>26869.609999999997</v>
      </c>
      <c r="AW70" s="105">
        <f t="shared" si="44"/>
        <v>0</v>
      </c>
      <c r="AX70" s="122">
        <f t="shared" si="45"/>
        <v>16249.335000000001</v>
      </c>
      <c r="AY70" s="99"/>
      <c r="AZ70" s="99"/>
      <c r="BA70" s="122"/>
      <c r="BB70" s="89"/>
      <c r="BC70" s="89"/>
      <c r="BD70" s="279">
        <f t="shared" si="47"/>
        <v>324986.7</v>
      </c>
      <c r="BE70" s="193">
        <f t="shared" si="46"/>
        <v>0</v>
      </c>
    </row>
    <row r="71" spans="2:57" s="6" customFormat="1" ht="16.95" customHeight="1">
      <c r="B71" s="243" t="str">
        <f t="shared" si="39"/>
        <v>LOT 09 - Faux-plafond démontable</v>
      </c>
      <c r="C71" s="155">
        <f t="shared" si="39"/>
        <v>28800</v>
      </c>
      <c r="D71" s="100">
        <f t="shared" si="39"/>
        <v>2803.5259999999998</v>
      </c>
      <c r="E71" s="100">
        <f t="shared" si="39"/>
        <v>9044.9918000000016</v>
      </c>
      <c r="F71" s="100">
        <f t="shared" si="39"/>
        <v>7117.9395999999997</v>
      </c>
      <c r="G71" s="100">
        <f t="shared" si="39"/>
        <v>6887.2149999999992</v>
      </c>
      <c r="H71" s="100">
        <f t="shared" si="39"/>
        <v>1506.3275999999998</v>
      </c>
      <c r="I71" s="100">
        <f t="shared" si="39"/>
        <v>1440</v>
      </c>
      <c r="J71" s="100"/>
      <c r="K71" s="100"/>
      <c r="L71" s="152"/>
      <c r="M71" s="100"/>
      <c r="N71" s="100"/>
      <c r="O71" s="100"/>
      <c r="P71" s="100"/>
      <c r="Q71" s="100"/>
      <c r="R71" s="155"/>
      <c r="S71" s="100"/>
      <c r="T71" s="100"/>
      <c r="U71" s="100"/>
      <c r="V71" s="100"/>
      <c r="W71" s="100"/>
      <c r="X71" s="155">
        <v>0</v>
      </c>
      <c r="Y71" s="106">
        <f t="shared" si="40"/>
        <v>0</v>
      </c>
      <c r="Z71" s="106">
        <f t="shared" si="40"/>
        <v>0</v>
      </c>
      <c r="AA71" s="106">
        <f t="shared" si="40"/>
        <v>2803.5259999999998</v>
      </c>
      <c r="AB71" s="106">
        <f t="shared" si="40"/>
        <v>0</v>
      </c>
      <c r="AC71" s="106">
        <f t="shared" si="40"/>
        <v>0</v>
      </c>
      <c r="AD71" s="128">
        <f t="shared" si="41"/>
        <v>0</v>
      </c>
      <c r="AE71" s="106">
        <f t="shared" si="41"/>
        <v>0</v>
      </c>
      <c r="AF71" s="106">
        <f t="shared" si="41"/>
        <v>0</v>
      </c>
      <c r="AG71" s="106">
        <f t="shared" si="41"/>
        <v>3014.9972666666672</v>
      </c>
      <c r="AH71" s="106">
        <f t="shared" si="41"/>
        <v>6029.9945333333344</v>
      </c>
      <c r="AI71" s="106">
        <f t="shared" si="41"/>
        <v>0</v>
      </c>
      <c r="AJ71" s="104">
        <f t="shared" si="42"/>
        <v>0</v>
      </c>
      <c r="AK71" s="104">
        <f t="shared" si="42"/>
        <v>0</v>
      </c>
      <c r="AL71" s="104">
        <f t="shared" si="42"/>
        <v>0</v>
      </c>
      <c r="AM71" s="104">
        <f t="shared" si="42"/>
        <v>2372.6465333333331</v>
      </c>
      <c r="AN71" s="104">
        <f t="shared" si="42"/>
        <v>4745.2930666666662</v>
      </c>
      <c r="AO71" s="104">
        <f t="shared" si="42"/>
        <v>0</v>
      </c>
      <c r="AP71" s="121">
        <f t="shared" si="43"/>
        <v>0</v>
      </c>
      <c r="AQ71" s="140">
        <f t="shared" si="43"/>
        <v>0</v>
      </c>
      <c r="AR71" s="104">
        <f t="shared" si="43"/>
        <v>0</v>
      </c>
      <c r="AS71" s="104">
        <f t="shared" si="43"/>
        <v>2295.7383333333332</v>
      </c>
      <c r="AT71" s="104">
        <f t="shared" si="43"/>
        <v>4591.4766666666665</v>
      </c>
      <c r="AU71" s="104">
        <f t="shared" si="43"/>
        <v>0</v>
      </c>
      <c r="AV71" s="104">
        <f t="shared" si="44"/>
        <v>753.16379999999992</v>
      </c>
      <c r="AW71" s="104">
        <f t="shared" si="44"/>
        <v>753.16379999999992</v>
      </c>
      <c r="AX71" s="121">
        <f t="shared" si="45"/>
        <v>1440</v>
      </c>
      <c r="AY71" s="101"/>
      <c r="AZ71" s="101"/>
      <c r="BA71" s="121"/>
      <c r="BB71" s="89"/>
      <c r="BC71" s="89"/>
      <c r="BD71" s="279">
        <f t="shared" si="47"/>
        <v>28799.999999999996</v>
      </c>
      <c r="BE71" s="193">
        <f t="shared" si="46"/>
        <v>0</v>
      </c>
    </row>
    <row r="72" spans="2:57" s="6" customFormat="1" ht="16.95" customHeight="1">
      <c r="B72" s="245" t="str">
        <f t="shared" si="39"/>
        <v>LOT 10 - Menuiseries Intérieures, mobilier, signalétique</v>
      </c>
      <c r="C72" s="156">
        <f t="shared" si="39"/>
        <v>357871.67</v>
      </c>
      <c r="D72" s="98">
        <f t="shared" si="39"/>
        <v>62504.129570000005</v>
      </c>
      <c r="E72" s="98">
        <f t="shared" si="39"/>
        <v>53420.910340000002</v>
      </c>
      <c r="F72" s="98">
        <f t="shared" si="39"/>
        <v>111337.14154499999</v>
      </c>
      <c r="G72" s="98">
        <f t="shared" si="39"/>
        <v>95940.488219999999</v>
      </c>
      <c r="H72" s="98">
        <f t="shared" si="39"/>
        <v>16775.416825000004</v>
      </c>
      <c r="I72" s="98">
        <f t="shared" si="39"/>
        <v>17893.583500000001</v>
      </c>
      <c r="J72" s="98"/>
      <c r="K72" s="98"/>
      <c r="L72" s="152"/>
      <c r="M72" s="98"/>
      <c r="N72" s="98"/>
      <c r="O72" s="98"/>
      <c r="P72" s="98"/>
      <c r="Q72" s="98"/>
      <c r="R72" s="156"/>
      <c r="S72" s="98"/>
      <c r="T72" s="98"/>
      <c r="U72" s="98"/>
      <c r="V72" s="98"/>
      <c r="W72" s="98"/>
      <c r="X72" s="156">
        <v>0</v>
      </c>
      <c r="Y72" s="105">
        <f t="shared" si="40"/>
        <v>0</v>
      </c>
      <c r="Z72" s="105">
        <f t="shared" si="40"/>
        <v>15626.032392500001</v>
      </c>
      <c r="AA72" s="105">
        <f t="shared" si="40"/>
        <v>15626.032392500001</v>
      </c>
      <c r="AB72" s="105">
        <f t="shared" si="40"/>
        <v>31252.064785000002</v>
      </c>
      <c r="AC72" s="105">
        <f t="shared" si="40"/>
        <v>0</v>
      </c>
      <c r="AD72" s="122">
        <f t="shared" si="41"/>
        <v>0</v>
      </c>
      <c r="AE72" s="105">
        <f t="shared" si="41"/>
        <v>8903.4850566666664</v>
      </c>
      <c r="AF72" s="105">
        <f t="shared" si="41"/>
        <v>0</v>
      </c>
      <c r="AG72" s="105">
        <f t="shared" si="41"/>
        <v>8903.4850566666664</v>
      </c>
      <c r="AH72" s="105">
        <f t="shared" si="41"/>
        <v>17806.970113333333</v>
      </c>
      <c r="AI72" s="105">
        <f t="shared" si="41"/>
        <v>17806.970113333333</v>
      </c>
      <c r="AJ72" s="105">
        <f t="shared" si="42"/>
        <v>10121.558322272727</v>
      </c>
      <c r="AK72" s="105">
        <f t="shared" si="42"/>
        <v>0</v>
      </c>
      <c r="AL72" s="105">
        <f t="shared" si="42"/>
        <v>0</v>
      </c>
      <c r="AM72" s="105">
        <f t="shared" si="42"/>
        <v>20243.116644545455</v>
      </c>
      <c r="AN72" s="105">
        <f t="shared" si="42"/>
        <v>40486.233289090909</v>
      </c>
      <c r="AO72" s="105">
        <f t="shared" si="42"/>
        <v>40486.233289090909</v>
      </c>
      <c r="AP72" s="122">
        <f t="shared" si="43"/>
        <v>15990.08137</v>
      </c>
      <c r="AQ72" s="141">
        <f t="shared" si="43"/>
        <v>0</v>
      </c>
      <c r="AR72" s="105">
        <f t="shared" si="43"/>
        <v>0</v>
      </c>
      <c r="AS72" s="105">
        <f t="shared" si="43"/>
        <v>31980.16274</v>
      </c>
      <c r="AT72" s="105">
        <f t="shared" si="43"/>
        <v>31980.16274</v>
      </c>
      <c r="AU72" s="105">
        <f t="shared" si="43"/>
        <v>15990.08137</v>
      </c>
      <c r="AV72" s="105">
        <f t="shared" si="44"/>
        <v>8387.7084125000019</v>
      </c>
      <c r="AW72" s="105">
        <f t="shared" si="44"/>
        <v>8387.7084125000019</v>
      </c>
      <c r="AX72" s="122">
        <f t="shared" si="45"/>
        <v>17893.583500000001</v>
      </c>
      <c r="AY72" s="99"/>
      <c r="AZ72" s="99"/>
      <c r="BA72" s="122"/>
      <c r="BB72" s="89"/>
      <c r="BC72" s="89"/>
      <c r="BD72" s="279">
        <f t="shared" si="47"/>
        <v>357871.67</v>
      </c>
      <c r="BE72" s="193">
        <f t="shared" si="46"/>
        <v>0</v>
      </c>
    </row>
    <row r="73" spans="2:57" s="6" customFormat="1" ht="16.95" customHeight="1">
      <c r="B73" s="243" t="str">
        <f t="shared" si="39"/>
        <v>LOT 11 - Sol souples</v>
      </c>
      <c r="C73" s="155">
        <f t="shared" si="39"/>
        <v>143241.5</v>
      </c>
      <c r="D73" s="100">
        <f t="shared" si="39"/>
        <v>6508.45</v>
      </c>
      <c r="E73" s="100">
        <f t="shared" si="39"/>
        <v>33250.379999999997</v>
      </c>
      <c r="F73" s="100">
        <f t="shared" si="39"/>
        <v>43514.464999999997</v>
      </c>
      <c r="G73" s="100">
        <f t="shared" si="39"/>
        <v>44755.26</v>
      </c>
      <c r="H73" s="100">
        <f t="shared" si="39"/>
        <v>8050.87</v>
      </c>
      <c r="I73" s="100">
        <f t="shared" si="39"/>
        <v>7162.0750000000007</v>
      </c>
      <c r="J73" s="100"/>
      <c r="K73" s="100"/>
      <c r="L73" s="152"/>
      <c r="M73" s="100"/>
      <c r="N73" s="100"/>
      <c r="O73" s="100"/>
      <c r="P73" s="100"/>
      <c r="Q73" s="100"/>
      <c r="R73" s="155"/>
      <c r="S73" s="100"/>
      <c r="T73" s="100"/>
      <c r="U73" s="100"/>
      <c r="V73" s="100"/>
      <c r="W73" s="100"/>
      <c r="X73" s="155">
        <v>0</v>
      </c>
      <c r="Y73" s="106">
        <f t="shared" ref="Y73:AC80" si="48">IF(Y54="",0,$D54*Y54/SUM($Y54:$AC54))</f>
        <v>0</v>
      </c>
      <c r="Z73" s="106">
        <f t="shared" si="48"/>
        <v>0</v>
      </c>
      <c r="AA73" s="106">
        <f t="shared" si="48"/>
        <v>6508.45</v>
      </c>
      <c r="AB73" s="106">
        <f t="shared" si="48"/>
        <v>0</v>
      </c>
      <c r="AC73" s="106">
        <f t="shared" si="48"/>
        <v>0</v>
      </c>
      <c r="AD73" s="128">
        <f t="shared" ref="AD73:AI80" si="49">IF(AD54="",0,$E54*AD54/SUM($AD54:$AI54))</f>
        <v>0</v>
      </c>
      <c r="AE73" s="106">
        <f t="shared" si="49"/>
        <v>0</v>
      </c>
      <c r="AF73" s="106">
        <f t="shared" si="49"/>
        <v>0</v>
      </c>
      <c r="AG73" s="106">
        <f t="shared" si="49"/>
        <v>8312.5949999999993</v>
      </c>
      <c r="AH73" s="106">
        <f t="shared" si="49"/>
        <v>16625.189999999999</v>
      </c>
      <c r="AI73" s="106">
        <f t="shared" si="49"/>
        <v>8312.5949999999993</v>
      </c>
      <c r="AJ73" s="104">
        <f t="shared" ref="AJ73:AO80" si="50">IF(AJ54="",0,$F54*AJ54/SUM($AJ54:$AO54))</f>
        <v>0</v>
      </c>
      <c r="AK73" s="104">
        <f t="shared" si="50"/>
        <v>0</v>
      </c>
      <c r="AL73" s="104">
        <f t="shared" si="50"/>
        <v>0</v>
      </c>
      <c r="AM73" s="104">
        <f t="shared" si="50"/>
        <v>12432.704285714284</v>
      </c>
      <c r="AN73" s="104">
        <f t="shared" si="50"/>
        <v>18649.056428571428</v>
      </c>
      <c r="AO73" s="104">
        <f t="shared" si="50"/>
        <v>12432.704285714284</v>
      </c>
      <c r="AP73" s="121">
        <f t="shared" ref="AP73:AU80" si="51">IF(AP54="",0,$G54*AP54/SUM($AP54:$AU54))</f>
        <v>0</v>
      </c>
      <c r="AQ73" s="140">
        <f t="shared" si="51"/>
        <v>0</v>
      </c>
      <c r="AR73" s="104">
        <f t="shared" si="51"/>
        <v>0</v>
      </c>
      <c r="AS73" s="104">
        <f t="shared" si="51"/>
        <v>11188.815000000001</v>
      </c>
      <c r="AT73" s="104">
        <f t="shared" si="51"/>
        <v>22377.63</v>
      </c>
      <c r="AU73" s="104">
        <f t="shared" si="51"/>
        <v>11188.815000000001</v>
      </c>
      <c r="AV73" s="104">
        <f t="shared" si="44"/>
        <v>0</v>
      </c>
      <c r="AW73" s="104">
        <f t="shared" si="44"/>
        <v>8050.87</v>
      </c>
      <c r="AX73" s="121">
        <f t="shared" si="45"/>
        <v>7162.0750000000007</v>
      </c>
      <c r="AY73" s="101"/>
      <c r="AZ73" s="101"/>
      <c r="BA73" s="121"/>
      <c r="BB73" s="89"/>
      <c r="BC73" s="89"/>
      <c r="BD73" s="279">
        <f t="shared" si="47"/>
        <v>143241.5</v>
      </c>
      <c r="BE73" s="193">
        <f t="shared" si="46"/>
        <v>0</v>
      </c>
    </row>
    <row r="74" spans="2:57" s="6" customFormat="1" ht="16.95" customHeight="1">
      <c r="B74" s="245" t="str">
        <f t="shared" si="39"/>
        <v>LOT 12 - Portes automatiques</v>
      </c>
      <c r="C74" s="156">
        <f t="shared" si="39"/>
        <v>84812</v>
      </c>
      <c r="D74" s="98">
        <f t="shared" si="39"/>
        <v>0</v>
      </c>
      <c r="E74" s="98">
        <f t="shared" si="39"/>
        <v>33736.400000000001</v>
      </c>
      <c r="F74" s="98">
        <f t="shared" si="39"/>
        <v>37167.799999999996</v>
      </c>
      <c r="G74" s="98">
        <f t="shared" si="39"/>
        <v>9667.1999999999989</v>
      </c>
      <c r="H74" s="98">
        <f t="shared" si="39"/>
        <v>0</v>
      </c>
      <c r="I74" s="98">
        <f t="shared" si="39"/>
        <v>4240.6000000000004</v>
      </c>
      <c r="J74" s="98"/>
      <c r="K74" s="98"/>
      <c r="L74" s="152"/>
      <c r="M74" s="98"/>
      <c r="N74" s="98"/>
      <c r="O74" s="98"/>
      <c r="P74" s="98"/>
      <c r="Q74" s="98"/>
      <c r="R74" s="156"/>
      <c r="S74" s="98"/>
      <c r="T74" s="98"/>
      <c r="U74" s="98"/>
      <c r="V74" s="98"/>
      <c r="W74" s="98"/>
      <c r="X74" s="156">
        <v>0</v>
      </c>
      <c r="Y74" s="105">
        <f t="shared" si="48"/>
        <v>0</v>
      </c>
      <c r="Z74" s="105">
        <f t="shared" si="48"/>
        <v>0</v>
      </c>
      <c r="AA74" s="105">
        <f t="shared" si="48"/>
        <v>0</v>
      </c>
      <c r="AB74" s="105">
        <f t="shared" si="48"/>
        <v>0</v>
      </c>
      <c r="AC74" s="105">
        <f t="shared" si="48"/>
        <v>0</v>
      </c>
      <c r="AD74" s="122">
        <f t="shared" si="49"/>
        <v>0</v>
      </c>
      <c r="AE74" s="105">
        <f t="shared" si="49"/>
        <v>0</v>
      </c>
      <c r="AF74" s="105">
        <f t="shared" si="49"/>
        <v>0</v>
      </c>
      <c r="AG74" s="105">
        <f t="shared" si="49"/>
        <v>0</v>
      </c>
      <c r="AH74" s="105">
        <f t="shared" si="49"/>
        <v>0</v>
      </c>
      <c r="AI74" s="105">
        <f t="shared" si="49"/>
        <v>33736.400000000001</v>
      </c>
      <c r="AJ74" s="105">
        <f t="shared" si="50"/>
        <v>0</v>
      </c>
      <c r="AK74" s="105">
        <f t="shared" si="50"/>
        <v>0</v>
      </c>
      <c r="AL74" s="105">
        <f t="shared" si="50"/>
        <v>0</v>
      </c>
      <c r="AM74" s="105">
        <f t="shared" si="50"/>
        <v>0</v>
      </c>
      <c r="AN74" s="105">
        <f t="shared" si="50"/>
        <v>7433.5599999999995</v>
      </c>
      <c r="AO74" s="105">
        <f t="shared" si="50"/>
        <v>29734.239999999998</v>
      </c>
      <c r="AP74" s="122">
        <f t="shared" si="51"/>
        <v>0</v>
      </c>
      <c r="AQ74" s="141">
        <f t="shared" si="51"/>
        <v>0</v>
      </c>
      <c r="AR74" s="105">
        <f t="shared" si="51"/>
        <v>0</v>
      </c>
      <c r="AS74" s="105">
        <f t="shared" si="51"/>
        <v>0</v>
      </c>
      <c r="AT74" s="105">
        <f t="shared" si="51"/>
        <v>0</v>
      </c>
      <c r="AU74" s="105">
        <f t="shared" si="51"/>
        <v>9667.1999999999989</v>
      </c>
      <c r="AV74" s="105">
        <f t="shared" si="44"/>
        <v>0</v>
      </c>
      <c r="AW74" s="105">
        <f t="shared" si="44"/>
        <v>0</v>
      </c>
      <c r="AX74" s="122">
        <f t="shared" si="45"/>
        <v>4240.6000000000004</v>
      </c>
      <c r="AY74" s="99"/>
      <c r="AZ74" s="99"/>
      <c r="BA74" s="122"/>
      <c r="BB74" s="89"/>
      <c r="BC74" s="89"/>
      <c r="BD74" s="279">
        <f t="shared" si="47"/>
        <v>84812</v>
      </c>
      <c r="BE74" s="193">
        <f t="shared" si="46"/>
        <v>0</v>
      </c>
    </row>
    <row r="75" spans="2:57" s="6" customFormat="1" ht="16.95" customHeight="1">
      <c r="B75" s="243" t="str">
        <f t="shared" si="39"/>
        <v>LOT 13C - Fluides médicaux</v>
      </c>
      <c r="C75" s="155">
        <f t="shared" si="39"/>
        <v>77145</v>
      </c>
      <c r="D75" s="100">
        <f t="shared" si="39"/>
        <v>9888.5499999999993</v>
      </c>
      <c r="E75" s="100">
        <f t="shared" si="39"/>
        <v>15069.849999999999</v>
      </c>
      <c r="F75" s="100">
        <f t="shared" si="39"/>
        <v>17994.899999999998</v>
      </c>
      <c r="G75" s="100">
        <f t="shared" si="39"/>
        <v>28909.449999999997</v>
      </c>
      <c r="H75" s="100">
        <f t="shared" si="39"/>
        <v>1425</v>
      </c>
      <c r="I75" s="100">
        <f t="shared" si="39"/>
        <v>3857.25</v>
      </c>
      <c r="J75" s="100"/>
      <c r="K75" s="100"/>
      <c r="L75" s="152"/>
      <c r="M75" s="100"/>
      <c r="N75" s="100"/>
      <c r="O75" s="100"/>
      <c r="P75" s="100"/>
      <c r="Q75" s="100"/>
      <c r="R75" s="155"/>
      <c r="S75" s="100"/>
      <c r="T75" s="100"/>
      <c r="U75" s="100"/>
      <c r="V75" s="100"/>
      <c r="W75" s="100"/>
      <c r="X75" s="155">
        <v>0</v>
      </c>
      <c r="Y75" s="106">
        <f t="shared" si="48"/>
        <v>0</v>
      </c>
      <c r="Z75" s="106">
        <f t="shared" si="48"/>
        <v>0</v>
      </c>
      <c r="AA75" s="106">
        <f t="shared" si="48"/>
        <v>0</v>
      </c>
      <c r="AB75" s="106">
        <f t="shared" si="48"/>
        <v>4944.2749999999996</v>
      </c>
      <c r="AC75" s="106">
        <f t="shared" si="48"/>
        <v>4944.2749999999996</v>
      </c>
      <c r="AD75" s="128">
        <f t="shared" si="49"/>
        <v>0</v>
      </c>
      <c r="AE75" s="106">
        <f t="shared" si="49"/>
        <v>0</v>
      </c>
      <c r="AF75" s="106">
        <f t="shared" si="49"/>
        <v>3013.97</v>
      </c>
      <c r="AG75" s="106">
        <f t="shared" si="49"/>
        <v>3013.97</v>
      </c>
      <c r="AH75" s="106">
        <f t="shared" si="49"/>
        <v>3013.97</v>
      </c>
      <c r="AI75" s="106">
        <f t="shared" si="49"/>
        <v>6027.94</v>
      </c>
      <c r="AJ75" s="104">
        <f t="shared" si="50"/>
        <v>0</v>
      </c>
      <c r="AK75" s="104">
        <f t="shared" si="50"/>
        <v>0</v>
      </c>
      <c r="AL75" s="104">
        <f t="shared" si="50"/>
        <v>3598.9799999999996</v>
      </c>
      <c r="AM75" s="104">
        <f t="shared" si="50"/>
        <v>3598.9799999999996</v>
      </c>
      <c r="AN75" s="104">
        <f t="shared" si="50"/>
        <v>3598.9799999999996</v>
      </c>
      <c r="AO75" s="104">
        <f t="shared" si="50"/>
        <v>7197.9599999999991</v>
      </c>
      <c r="AP75" s="121">
        <f t="shared" si="51"/>
        <v>0</v>
      </c>
      <c r="AQ75" s="140">
        <f t="shared" si="51"/>
        <v>0</v>
      </c>
      <c r="AR75" s="104">
        <f t="shared" si="51"/>
        <v>5781.8899999999994</v>
      </c>
      <c r="AS75" s="104">
        <f t="shared" si="51"/>
        <v>5781.8899999999994</v>
      </c>
      <c r="AT75" s="104">
        <f t="shared" si="51"/>
        <v>5781.8899999999994</v>
      </c>
      <c r="AU75" s="104">
        <f t="shared" si="51"/>
        <v>11563.779999999999</v>
      </c>
      <c r="AV75" s="104">
        <f t="shared" si="44"/>
        <v>712.5</v>
      </c>
      <c r="AW75" s="104">
        <f t="shared" si="44"/>
        <v>712.5</v>
      </c>
      <c r="AX75" s="121">
        <f t="shared" si="45"/>
        <v>3857.25</v>
      </c>
      <c r="AY75" s="101"/>
      <c r="AZ75" s="101"/>
      <c r="BA75" s="121"/>
      <c r="BB75" s="89"/>
      <c r="BC75" s="89"/>
      <c r="BD75" s="279">
        <f t="shared" si="47"/>
        <v>77145</v>
      </c>
      <c r="BE75" s="193">
        <f t="shared" si="46"/>
        <v>0</v>
      </c>
    </row>
    <row r="76" spans="2:57" s="6" customFormat="1" ht="16.95" customHeight="1">
      <c r="B76" s="245" t="str">
        <f t="shared" si="39"/>
        <v>LOT 13B - Plomberie Sanitaires</v>
      </c>
      <c r="C76" s="156">
        <f t="shared" si="39"/>
        <v>159522</v>
      </c>
      <c r="D76" s="98">
        <f t="shared" si="39"/>
        <v>32167.189999999995</v>
      </c>
      <c r="E76" s="98">
        <f t="shared" si="39"/>
        <v>14969.244999999999</v>
      </c>
      <c r="F76" s="98">
        <f t="shared" si="39"/>
        <v>35627.945</v>
      </c>
      <c r="G76" s="98">
        <f t="shared" si="39"/>
        <v>55322.774999999994</v>
      </c>
      <c r="H76" s="98">
        <f t="shared" si="39"/>
        <v>13458.744999999999</v>
      </c>
      <c r="I76" s="98">
        <f t="shared" si="39"/>
        <v>7976.1</v>
      </c>
      <c r="J76" s="98"/>
      <c r="K76" s="98"/>
      <c r="L76" s="152"/>
      <c r="M76" s="98"/>
      <c r="N76" s="98"/>
      <c r="O76" s="98"/>
      <c r="P76" s="98"/>
      <c r="Q76" s="98"/>
      <c r="R76" s="156"/>
      <c r="S76" s="98"/>
      <c r="T76" s="98"/>
      <c r="U76" s="98"/>
      <c r="V76" s="98"/>
      <c r="W76" s="98"/>
      <c r="X76" s="156">
        <v>0</v>
      </c>
      <c r="Y76" s="105">
        <f t="shared" si="48"/>
        <v>3574.1322222222216</v>
      </c>
      <c r="Z76" s="105">
        <f t="shared" si="48"/>
        <v>7148.2644444444431</v>
      </c>
      <c r="AA76" s="105">
        <f t="shared" si="48"/>
        <v>7148.2644444444431</v>
      </c>
      <c r="AB76" s="105">
        <f t="shared" si="48"/>
        <v>14296.528888888886</v>
      </c>
      <c r="AC76" s="105">
        <f t="shared" si="48"/>
        <v>0</v>
      </c>
      <c r="AD76" s="122">
        <f t="shared" si="49"/>
        <v>1151.4803846153845</v>
      </c>
      <c r="AE76" s="105">
        <f t="shared" si="49"/>
        <v>2302.9607692307691</v>
      </c>
      <c r="AF76" s="105">
        <f t="shared" si="49"/>
        <v>2302.9607692307691</v>
      </c>
      <c r="AG76" s="105">
        <f t="shared" si="49"/>
        <v>2302.9607692307691</v>
      </c>
      <c r="AH76" s="105">
        <f t="shared" si="49"/>
        <v>2302.9607692307691</v>
      </c>
      <c r="AI76" s="105">
        <f t="shared" si="49"/>
        <v>4605.9215384615381</v>
      </c>
      <c r="AJ76" s="105">
        <f t="shared" si="50"/>
        <v>2740.6111538461537</v>
      </c>
      <c r="AK76" s="105">
        <f t="shared" si="50"/>
        <v>5481.2223076923074</v>
      </c>
      <c r="AL76" s="105">
        <f t="shared" si="50"/>
        <v>5481.2223076923074</v>
      </c>
      <c r="AM76" s="105">
        <f t="shared" si="50"/>
        <v>5481.2223076923074</v>
      </c>
      <c r="AN76" s="105">
        <f t="shared" si="50"/>
        <v>5481.2223076923074</v>
      </c>
      <c r="AO76" s="105">
        <f t="shared" si="50"/>
        <v>10962.444615384615</v>
      </c>
      <c r="AP76" s="122">
        <f t="shared" si="51"/>
        <v>4255.5980769230764</v>
      </c>
      <c r="AQ76" s="141">
        <f t="shared" si="51"/>
        <v>8511.1961538461528</v>
      </c>
      <c r="AR76" s="105">
        <f t="shared" si="51"/>
        <v>8511.1961538461528</v>
      </c>
      <c r="AS76" s="105">
        <f t="shared" si="51"/>
        <v>8511.1961538461528</v>
      </c>
      <c r="AT76" s="105">
        <f t="shared" si="51"/>
        <v>8511.1961538461528</v>
      </c>
      <c r="AU76" s="105">
        <f t="shared" si="51"/>
        <v>17022.392307692306</v>
      </c>
      <c r="AV76" s="105">
        <f t="shared" si="44"/>
        <v>6729.3724999999995</v>
      </c>
      <c r="AW76" s="105">
        <f t="shared" si="44"/>
        <v>6729.3724999999995</v>
      </c>
      <c r="AX76" s="122">
        <f t="shared" si="45"/>
        <v>7976.1</v>
      </c>
      <c r="AY76" s="99"/>
      <c r="AZ76" s="99"/>
      <c r="BA76" s="122"/>
      <c r="BB76" s="89"/>
      <c r="BC76" s="89"/>
      <c r="BD76" s="279">
        <f t="shared" si="47"/>
        <v>159521.99999999997</v>
      </c>
      <c r="BE76" s="193">
        <f t="shared" si="46"/>
        <v>0</v>
      </c>
    </row>
    <row r="77" spans="2:57" s="6" customFormat="1" ht="16.95" customHeight="1">
      <c r="B77" s="243" t="str">
        <f t="shared" si="39"/>
        <v>LOT 13A - CVC et Désenfumage</v>
      </c>
      <c r="C77" s="155">
        <f t="shared" si="39"/>
        <v>576358.40000000002</v>
      </c>
      <c r="D77" s="100">
        <f t="shared" si="39"/>
        <v>57064.464339999999</v>
      </c>
      <c r="E77" s="100">
        <f t="shared" si="39"/>
        <v>174003.94635999997</v>
      </c>
      <c r="F77" s="100">
        <f t="shared" si="39"/>
        <v>137282.70564</v>
      </c>
      <c r="G77" s="100">
        <f t="shared" si="39"/>
        <v>160900.01724000004</v>
      </c>
      <c r="H77" s="100">
        <f t="shared" si="39"/>
        <v>18289.346420000002</v>
      </c>
      <c r="I77" s="100">
        <f t="shared" si="39"/>
        <v>28817.920000000002</v>
      </c>
      <c r="J77" s="100"/>
      <c r="K77" s="100"/>
      <c r="L77" s="152"/>
      <c r="M77" s="100"/>
      <c r="N77" s="100"/>
      <c r="O77" s="100"/>
      <c r="P77" s="100"/>
      <c r="Q77" s="100"/>
      <c r="R77" s="155"/>
      <c r="S77" s="100"/>
      <c r="T77" s="100"/>
      <c r="U77" s="100"/>
      <c r="V77" s="100"/>
      <c r="W77" s="100"/>
      <c r="X77" s="155">
        <v>0</v>
      </c>
      <c r="Y77" s="106">
        <f t="shared" si="48"/>
        <v>0</v>
      </c>
      <c r="Z77" s="106">
        <f t="shared" si="48"/>
        <v>0</v>
      </c>
      <c r="AA77" s="106">
        <f t="shared" si="48"/>
        <v>0</v>
      </c>
      <c r="AB77" s="106">
        <f t="shared" si="48"/>
        <v>28532.232169999999</v>
      </c>
      <c r="AC77" s="106">
        <f t="shared" si="48"/>
        <v>28532.232169999999</v>
      </c>
      <c r="AD77" s="128">
        <f t="shared" si="49"/>
        <v>0</v>
      </c>
      <c r="AE77" s="106">
        <f t="shared" si="49"/>
        <v>24857.706622857138</v>
      </c>
      <c r="AF77" s="106">
        <f t="shared" si="49"/>
        <v>49715.413245714277</v>
      </c>
      <c r="AG77" s="106">
        <f t="shared" si="49"/>
        <v>49715.413245714277</v>
      </c>
      <c r="AH77" s="106">
        <f t="shared" si="49"/>
        <v>0</v>
      </c>
      <c r="AI77" s="106">
        <f t="shared" si="49"/>
        <v>49715.413245714277</v>
      </c>
      <c r="AJ77" s="104">
        <f t="shared" si="50"/>
        <v>0</v>
      </c>
      <c r="AK77" s="104">
        <f t="shared" si="50"/>
        <v>19611.815091428572</v>
      </c>
      <c r="AL77" s="104">
        <f t="shared" si="50"/>
        <v>39223.630182857145</v>
      </c>
      <c r="AM77" s="104">
        <f t="shared" si="50"/>
        <v>39223.630182857145</v>
      </c>
      <c r="AN77" s="104">
        <f t="shared" si="50"/>
        <v>0</v>
      </c>
      <c r="AO77" s="104">
        <f t="shared" si="50"/>
        <v>39223.630182857145</v>
      </c>
      <c r="AP77" s="121">
        <f t="shared" si="51"/>
        <v>0</v>
      </c>
      <c r="AQ77" s="140">
        <f t="shared" si="51"/>
        <v>22985.716748571434</v>
      </c>
      <c r="AR77" s="104">
        <f t="shared" si="51"/>
        <v>45971.433497142869</v>
      </c>
      <c r="AS77" s="104">
        <f t="shared" si="51"/>
        <v>45971.433497142869</v>
      </c>
      <c r="AT77" s="104">
        <f t="shared" si="51"/>
        <v>0</v>
      </c>
      <c r="AU77" s="104">
        <f t="shared" si="51"/>
        <v>45971.433497142869</v>
      </c>
      <c r="AV77" s="104">
        <f t="shared" si="44"/>
        <v>9144.6732100000008</v>
      </c>
      <c r="AW77" s="104">
        <f t="shared" si="44"/>
        <v>9144.6732100000008</v>
      </c>
      <c r="AX77" s="121">
        <f t="shared" si="45"/>
        <v>28817.920000000002</v>
      </c>
      <c r="AY77" s="101"/>
      <c r="AZ77" s="101"/>
      <c r="BA77" s="121"/>
      <c r="BB77" s="89"/>
      <c r="BC77" s="89"/>
      <c r="BD77" s="279">
        <f t="shared" si="47"/>
        <v>576358.40000000014</v>
      </c>
      <c r="BE77" s="193">
        <f t="shared" si="46"/>
        <v>0</v>
      </c>
    </row>
    <row r="78" spans="2:57" s="6" customFormat="1" ht="16.95" customHeight="1">
      <c r="B78" s="245" t="str">
        <f t="shared" si="39"/>
        <v>LOT 14A - CFO - CFA</v>
      </c>
      <c r="C78" s="156">
        <f t="shared" si="39"/>
        <v>575000.00299999991</v>
      </c>
      <c r="D78" s="98">
        <f t="shared" si="39"/>
        <v>147436.16105</v>
      </c>
      <c r="E78" s="98">
        <f t="shared" si="39"/>
        <v>74868.879649999988</v>
      </c>
      <c r="F78" s="98">
        <f t="shared" si="39"/>
        <v>92655.127349999995</v>
      </c>
      <c r="G78" s="98">
        <f t="shared" si="39"/>
        <v>195680.79099999997</v>
      </c>
      <c r="H78" s="98">
        <f t="shared" si="39"/>
        <v>35609.043800000007</v>
      </c>
      <c r="I78" s="98">
        <f t="shared" si="39"/>
        <v>28750.000149999996</v>
      </c>
      <c r="J78" s="98"/>
      <c r="K78" s="98"/>
      <c r="L78" s="152"/>
      <c r="M78" s="98"/>
      <c r="N78" s="98"/>
      <c r="O78" s="98"/>
      <c r="P78" s="98"/>
      <c r="Q78" s="98"/>
      <c r="R78" s="156"/>
      <c r="S78" s="98"/>
      <c r="T78" s="98"/>
      <c r="U78" s="98"/>
      <c r="V78" s="98"/>
      <c r="W78" s="98"/>
      <c r="X78" s="156">
        <v>0</v>
      </c>
      <c r="Y78" s="105">
        <f t="shared" si="48"/>
        <v>16381.795672222222</v>
      </c>
      <c r="Z78" s="105">
        <f t="shared" si="48"/>
        <v>32763.591344444445</v>
      </c>
      <c r="AA78" s="105">
        <f t="shared" si="48"/>
        <v>32763.591344444445</v>
      </c>
      <c r="AB78" s="105">
        <f t="shared" si="48"/>
        <v>65527.18268888889</v>
      </c>
      <c r="AC78" s="105">
        <f t="shared" si="48"/>
        <v>0</v>
      </c>
      <c r="AD78" s="122">
        <f t="shared" si="49"/>
        <v>5759.1445884615378</v>
      </c>
      <c r="AE78" s="105">
        <f t="shared" si="49"/>
        <v>11518.289176923076</v>
      </c>
      <c r="AF78" s="105">
        <f t="shared" si="49"/>
        <v>11518.289176923076</v>
      </c>
      <c r="AG78" s="105">
        <f t="shared" si="49"/>
        <v>11518.289176923076</v>
      </c>
      <c r="AH78" s="105">
        <f t="shared" si="49"/>
        <v>11518.289176923076</v>
      </c>
      <c r="AI78" s="105">
        <f t="shared" si="49"/>
        <v>23036.578353846151</v>
      </c>
      <c r="AJ78" s="105">
        <f t="shared" si="50"/>
        <v>7127.3174884615382</v>
      </c>
      <c r="AK78" s="105">
        <f t="shared" si="50"/>
        <v>14254.634976923076</v>
      </c>
      <c r="AL78" s="105">
        <f t="shared" si="50"/>
        <v>14254.634976923076</v>
      </c>
      <c r="AM78" s="105">
        <f t="shared" si="50"/>
        <v>14254.634976923076</v>
      </c>
      <c r="AN78" s="105">
        <f t="shared" si="50"/>
        <v>14254.634976923076</v>
      </c>
      <c r="AO78" s="105">
        <f t="shared" si="50"/>
        <v>28509.269953846153</v>
      </c>
      <c r="AP78" s="122">
        <f t="shared" si="51"/>
        <v>15052.368538461536</v>
      </c>
      <c r="AQ78" s="141">
        <f t="shared" si="51"/>
        <v>30104.737076923073</v>
      </c>
      <c r="AR78" s="105">
        <f t="shared" si="51"/>
        <v>30104.737076923073</v>
      </c>
      <c r="AS78" s="105">
        <f t="shared" si="51"/>
        <v>30104.737076923073</v>
      </c>
      <c r="AT78" s="105">
        <f t="shared" si="51"/>
        <v>30104.737076923073</v>
      </c>
      <c r="AU78" s="105">
        <f t="shared" si="51"/>
        <v>60209.474153846146</v>
      </c>
      <c r="AV78" s="105">
        <f t="shared" si="44"/>
        <v>17804.521900000003</v>
      </c>
      <c r="AW78" s="105">
        <f t="shared" si="44"/>
        <v>17804.521900000003</v>
      </c>
      <c r="AX78" s="122">
        <f t="shared" si="45"/>
        <v>28750.000149999996</v>
      </c>
      <c r="AY78" s="99"/>
      <c r="AZ78" s="99"/>
      <c r="BA78" s="122"/>
      <c r="BB78" s="89"/>
      <c r="BC78" s="89"/>
      <c r="BD78" s="279">
        <f t="shared" si="47"/>
        <v>575000.00300000003</v>
      </c>
      <c r="BE78" s="193">
        <f t="shared" si="46"/>
        <v>0</v>
      </c>
    </row>
    <row r="79" spans="2:57" s="6" customFormat="1" ht="16.95" customHeight="1">
      <c r="B79" s="243" t="str">
        <f t="shared" ref="B79:I80" si="52">B60</f>
        <v>LOT 14B - Sureté</v>
      </c>
      <c r="C79" s="155">
        <f t="shared" si="52"/>
        <v>122000.00400000002</v>
      </c>
      <c r="D79" s="100">
        <f t="shared" si="52"/>
        <v>28822.957059999997</v>
      </c>
      <c r="E79" s="100">
        <f t="shared" si="52"/>
        <v>7086.0469600000006</v>
      </c>
      <c r="F79" s="100">
        <f t="shared" si="52"/>
        <v>39454.336760000006</v>
      </c>
      <c r="G79" s="100">
        <f t="shared" si="52"/>
        <v>26621.765259999996</v>
      </c>
      <c r="H79" s="100">
        <f t="shared" si="52"/>
        <v>13914.897759999998</v>
      </c>
      <c r="I79" s="100">
        <f t="shared" si="52"/>
        <v>6100.0002000000013</v>
      </c>
      <c r="J79" s="100"/>
      <c r="K79" s="100"/>
      <c r="L79" s="152"/>
      <c r="M79" s="100"/>
      <c r="N79" s="100"/>
      <c r="O79" s="100"/>
      <c r="P79" s="100"/>
      <c r="Q79" s="100"/>
      <c r="R79" s="155"/>
      <c r="S79" s="100"/>
      <c r="T79" s="100"/>
      <c r="U79" s="100"/>
      <c r="V79" s="100"/>
      <c r="W79" s="100"/>
      <c r="X79" s="155">
        <v>0</v>
      </c>
      <c r="Y79" s="106">
        <f t="shared" si="48"/>
        <v>2882.2957059999999</v>
      </c>
      <c r="Z79" s="106">
        <f t="shared" si="48"/>
        <v>5764.5914119999998</v>
      </c>
      <c r="AA79" s="106">
        <f t="shared" si="48"/>
        <v>5764.5914119999998</v>
      </c>
      <c r="AB79" s="106">
        <f t="shared" si="48"/>
        <v>11529.182824</v>
      </c>
      <c r="AC79" s="106">
        <f t="shared" si="48"/>
        <v>2882.2957059999999</v>
      </c>
      <c r="AD79" s="128">
        <f t="shared" si="49"/>
        <v>545.08053538461547</v>
      </c>
      <c r="AE79" s="106">
        <f t="shared" si="49"/>
        <v>1090.1610707692309</v>
      </c>
      <c r="AF79" s="106">
        <f t="shared" si="49"/>
        <v>1090.1610707692309</v>
      </c>
      <c r="AG79" s="106">
        <f t="shared" si="49"/>
        <v>1090.1610707692309</v>
      </c>
      <c r="AH79" s="106">
        <f t="shared" si="49"/>
        <v>1090.1610707692309</v>
      </c>
      <c r="AI79" s="106">
        <f t="shared" si="49"/>
        <v>2180.3221415384619</v>
      </c>
      <c r="AJ79" s="104">
        <f t="shared" si="50"/>
        <v>3034.9489815384618</v>
      </c>
      <c r="AK79" s="104">
        <f t="shared" si="50"/>
        <v>6069.8979630769236</v>
      </c>
      <c r="AL79" s="104">
        <f t="shared" si="50"/>
        <v>6069.8979630769236</v>
      </c>
      <c r="AM79" s="104">
        <f t="shared" si="50"/>
        <v>6069.8979630769236</v>
      </c>
      <c r="AN79" s="104">
        <f t="shared" si="50"/>
        <v>6069.8979630769236</v>
      </c>
      <c r="AO79" s="104">
        <f t="shared" si="50"/>
        <v>12139.795926153847</v>
      </c>
      <c r="AP79" s="121">
        <f t="shared" si="51"/>
        <v>2047.8280969230766</v>
      </c>
      <c r="AQ79" s="140">
        <f t="shared" si="51"/>
        <v>4095.6561938461532</v>
      </c>
      <c r="AR79" s="104">
        <f t="shared" si="51"/>
        <v>4095.6561938461532</v>
      </c>
      <c r="AS79" s="104">
        <f t="shared" si="51"/>
        <v>4095.6561938461532</v>
      </c>
      <c r="AT79" s="104">
        <f t="shared" si="51"/>
        <v>4095.6561938461532</v>
      </c>
      <c r="AU79" s="104">
        <f t="shared" si="51"/>
        <v>8191.3123876923064</v>
      </c>
      <c r="AV79" s="104">
        <f t="shared" si="44"/>
        <v>6957.448879999999</v>
      </c>
      <c r="AW79" s="104">
        <f t="shared" si="44"/>
        <v>6957.448879999999</v>
      </c>
      <c r="AX79" s="121">
        <f t="shared" si="45"/>
        <v>6100.0002000000013</v>
      </c>
      <c r="AY79" s="101"/>
      <c r="AZ79" s="101"/>
      <c r="BA79" s="121"/>
      <c r="BB79" s="89"/>
      <c r="BC79" s="89"/>
      <c r="BD79" s="279">
        <f t="shared" si="47"/>
        <v>122000.00399999999</v>
      </c>
      <c r="BE79" s="193">
        <f t="shared" si="46"/>
        <v>0</v>
      </c>
    </row>
    <row r="80" spans="2:57" s="6" customFormat="1" ht="16.95" customHeight="1">
      <c r="B80" s="245" t="str">
        <f t="shared" si="52"/>
        <v>LOT 15 - Nettoyage</v>
      </c>
      <c r="C80" s="156">
        <f t="shared" si="52"/>
        <v>15760</v>
      </c>
      <c r="D80" s="98">
        <f t="shared" si="52"/>
        <v>2014</v>
      </c>
      <c r="E80" s="98">
        <f t="shared" si="52"/>
        <v>3572</v>
      </c>
      <c r="F80" s="98">
        <f t="shared" si="52"/>
        <v>4560</v>
      </c>
      <c r="G80" s="98">
        <f t="shared" si="52"/>
        <v>4408</v>
      </c>
      <c r="H80" s="98">
        <f t="shared" si="52"/>
        <v>418</v>
      </c>
      <c r="I80" s="98">
        <f t="shared" si="52"/>
        <v>788</v>
      </c>
      <c r="J80" s="98"/>
      <c r="K80" s="98"/>
      <c r="L80" s="152"/>
      <c r="M80" s="98"/>
      <c r="N80" s="98"/>
      <c r="O80" s="98"/>
      <c r="P80" s="98"/>
      <c r="Q80" s="98"/>
      <c r="R80" s="156"/>
      <c r="S80" s="98"/>
      <c r="T80" s="98"/>
      <c r="U80" s="98"/>
      <c r="V80" s="98"/>
      <c r="W80" s="98"/>
      <c r="X80" s="156">
        <v>0</v>
      </c>
      <c r="Y80" s="105">
        <f t="shared" si="48"/>
        <v>0</v>
      </c>
      <c r="Z80" s="105">
        <f t="shared" si="48"/>
        <v>0</v>
      </c>
      <c r="AA80" s="105">
        <f t="shared" si="48"/>
        <v>0</v>
      </c>
      <c r="AB80" s="105">
        <f t="shared" si="48"/>
        <v>0</v>
      </c>
      <c r="AC80" s="105">
        <f t="shared" si="48"/>
        <v>2014</v>
      </c>
      <c r="AD80" s="122">
        <f t="shared" si="49"/>
        <v>0</v>
      </c>
      <c r="AE80" s="105">
        <f t="shared" si="49"/>
        <v>0</v>
      </c>
      <c r="AF80" s="105">
        <f t="shared" si="49"/>
        <v>0</v>
      </c>
      <c r="AG80" s="105">
        <f t="shared" si="49"/>
        <v>0</v>
      </c>
      <c r="AH80" s="105">
        <f t="shared" si="49"/>
        <v>0</v>
      </c>
      <c r="AI80" s="105">
        <f t="shared" si="49"/>
        <v>3572</v>
      </c>
      <c r="AJ80" s="105">
        <f t="shared" si="50"/>
        <v>0</v>
      </c>
      <c r="AK80" s="105">
        <f t="shared" si="50"/>
        <v>0</v>
      </c>
      <c r="AL80" s="105">
        <f t="shared" si="50"/>
        <v>0</v>
      </c>
      <c r="AM80" s="105">
        <f t="shared" si="50"/>
        <v>0</v>
      </c>
      <c r="AN80" s="105">
        <f t="shared" si="50"/>
        <v>0</v>
      </c>
      <c r="AO80" s="105">
        <f t="shared" si="50"/>
        <v>4560</v>
      </c>
      <c r="AP80" s="122">
        <f t="shared" si="51"/>
        <v>0</v>
      </c>
      <c r="AQ80" s="141">
        <f t="shared" si="51"/>
        <v>0</v>
      </c>
      <c r="AR80" s="105">
        <f t="shared" si="51"/>
        <v>0</v>
      </c>
      <c r="AS80" s="105">
        <f t="shared" si="51"/>
        <v>0</v>
      </c>
      <c r="AT80" s="105">
        <f t="shared" si="51"/>
        <v>0</v>
      </c>
      <c r="AU80" s="105">
        <f t="shared" si="51"/>
        <v>4408</v>
      </c>
      <c r="AV80" s="105">
        <f t="shared" si="44"/>
        <v>0</v>
      </c>
      <c r="AW80" s="105">
        <f t="shared" si="44"/>
        <v>418</v>
      </c>
      <c r="AX80" s="122">
        <f t="shared" si="45"/>
        <v>788</v>
      </c>
      <c r="AY80" s="99"/>
      <c r="AZ80" s="99"/>
      <c r="BA80" s="122"/>
      <c r="BB80" s="89"/>
      <c r="BC80" s="89"/>
      <c r="BD80" s="279">
        <f t="shared" si="47"/>
        <v>15760</v>
      </c>
      <c r="BE80" s="193">
        <f t="shared" si="46"/>
        <v>0</v>
      </c>
    </row>
    <row r="81" spans="2:57" s="6" customFormat="1" ht="6" customHeight="1">
      <c r="B81" s="247"/>
      <c r="C81" s="209"/>
      <c r="D81" s="208"/>
      <c r="E81" s="208"/>
      <c r="F81" s="208"/>
      <c r="G81" s="208"/>
      <c r="H81" s="208"/>
      <c r="I81" s="208"/>
      <c r="J81" s="208"/>
      <c r="K81" s="208"/>
      <c r="L81" s="209"/>
      <c r="M81" s="208"/>
      <c r="N81" s="208"/>
      <c r="O81" s="208"/>
      <c r="P81" s="208"/>
      <c r="Q81" s="208"/>
      <c r="R81" s="209"/>
      <c r="S81" s="208"/>
      <c r="T81" s="208"/>
      <c r="U81" s="208"/>
      <c r="V81" s="208"/>
      <c r="W81" s="208"/>
      <c r="X81" s="209"/>
      <c r="Y81" s="210"/>
      <c r="Z81" s="210"/>
      <c r="AA81" s="210"/>
      <c r="AB81" s="210"/>
      <c r="AC81" s="210"/>
      <c r="AD81" s="211"/>
      <c r="AE81" s="210"/>
      <c r="AF81" s="210"/>
      <c r="AG81" s="210"/>
      <c r="AH81" s="210"/>
      <c r="AI81" s="210"/>
      <c r="AJ81" s="210"/>
      <c r="AK81" s="210"/>
      <c r="AL81" s="210"/>
      <c r="AM81" s="210"/>
      <c r="AN81" s="210"/>
      <c r="AO81" s="210"/>
      <c r="AP81" s="211"/>
      <c r="AQ81" s="212"/>
      <c r="AR81" s="210"/>
      <c r="AS81" s="210"/>
      <c r="AT81" s="210"/>
      <c r="AU81" s="210"/>
      <c r="AV81" s="210"/>
      <c r="AW81" s="210"/>
      <c r="AX81" s="211"/>
      <c r="AY81" s="213"/>
      <c r="AZ81" s="213"/>
      <c r="BA81" s="211"/>
      <c r="BB81" s="89"/>
      <c r="BC81" s="89"/>
      <c r="BD81" s="89"/>
      <c r="BE81" s="89"/>
    </row>
    <row r="82" spans="2:57" s="91" customFormat="1" ht="24" customHeight="1">
      <c r="B82" s="281" t="s">
        <v>598</v>
      </c>
      <c r="C82" s="214">
        <f t="shared" ref="C82:I82" si="53">SUM(C62:C80)</f>
        <v>4162280.8624980003</v>
      </c>
      <c r="D82" s="215">
        <f t="shared" si="53"/>
        <v>753148.4077485</v>
      </c>
      <c r="E82" s="215">
        <f t="shared" si="53"/>
        <v>1087124.9046017998</v>
      </c>
      <c r="F82" s="215">
        <f t="shared" si="53"/>
        <v>814295.88779499975</v>
      </c>
      <c r="G82" s="215">
        <f t="shared" si="53"/>
        <v>1138255.2908228</v>
      </c>
      <c r="H82" s="215">
        <f t="shared" si="53"/>
        <v>161342.32840499998</v>
      </c>
      <c r="I82" s="215">
        <f t="shared" si="53"/>
        <v>208114.04312490002</v>
      </c>
      <c r="J82" s="216"/>
      <c r="K82" s="216"/>
      <c r="L82" s="152"/>
      <c r="M82" s="216"/>
      <c r="N82" s="216"/>
      <c r="O82" s="216"/>
      <c r="P82" s="216"/>
      <c r="Q82" s="216"/>
      <c r="R82" s="217"/>
      <c r="S82" s="216"/>
      <c r="T82" s="216"/>
      <c r="U82" s="216"/>
      <c r="V82" s="216"/>
      <c r="W82" s="216"/>
      <c r="X82" s="217"/>
      <c r="Y82" s="218">
        <f t="shared" ref="Y82:AZ82" si="54">SUM(Y62:Y80)</f>
        <v>81332.617066506937</v>
      </c>
      <c r="Z82" s="218">
        <f t="shared" si="54"/>
        <v>171760.78055945138</v>
      </c>
      <c r="AA82" s="218">
        <f t="shared" si="54"/>
        <v>119163.51755945139</v>
      </c>
      <c r="AB82" s="218">
        <f t="shared" si="54"/>
        <v>244974.12822102779</v>
      </c>
      <c r="AC82" s="218">
        <f t="shared" si="54"/>
        <v>135917.36434206247</v>
      </c>
      <c r="AD82" s="219">
        <f t="shared" si="54"/>
        <v>136536.80788682154</v>
      </c>
      <c r="AE82" s="218">
        <f t="shared" si="54"/>
        <v>212934.4343531669</v>
      </c>
      <c r="AF82" s="218">
        <f t="shared" si="54"/>
        <v>223926.29709099734</v>
      </c>
      <c r="AG82" s="218">
        <f t="shared" si="54"/>
        <v>169921.99028597071</v>
      </c>
      <c r="AH82" s="218">
        <f t="shared" si="54"/>
        <v>99651.900963589738</v>
      </c>
      <c r="AI82" s="218">
        <f t="shared" si="54"/>
        <v>244153.47402125373</v>
      </c>
      <c r="AJ82" s="218">
        <f t="shared" si="54"/>
        <v>104093.47191278555</v>
      </c>
      <c r="AK82" s="218">
        <f t="shared" si="54"/>
        <v>92447.465055787543</v>
      </c>
      <c r="AL82" s="218">
        <f t="shared" si="54"/>
        <v>136236.0081138828</v>
      </c>
      <c r="AM82" s="218">
        <f t="shared" si="54"/>
        <v>151367.13847747585</v>
      </c>
      <c r="AN82" s="218">
        <f t="shared" si="54"/>
        <v>111511.23269868796</v>
      </c>
      <c r="AO82" s="218">
        <f t="shared" si="54"/>
        <v>218640.57153638024</v>
      </c>
      <c r="AP82" s="219">
        <f t="shared" si="54"/>
        <v>206057.05678390767</v>
      </c>
      <c r="AQ82" s="220">
        <f t="shared" si="54"/>
        <v>128643.4590239868</v>
      </c>
      <c r="AR82" s="218">
        <f t="shared" si="54"/>
        <v>261977.88168049158</v>
      </c>
      <c r="AS82" s="218">
        <f t="shared" si="54"/>
        <v>217736.88603675825</v>
      </c>
      <c r="AT82" s="218">
        <f t="shared" si="54"/>
        <v>127553.18483128204</v>
      </c>
      <c r="AU82" s="218">
        <f t="shared" si="54"/>
        <v>196286.82246637362</v>
      </c>
      <c r="AV82" s="218">
        <f t="shared" si="54"/>
        <v>100423.9347025</v>
      </c>
      <c r="AW82" s="218">
        <f t="shared" si="54"/>
        <v>60918.393702500005</v>
      </c>
      <c r="AX82" s="219">
        <f t="shared" si="54"/>
        <v>208114.04312490002</v>
      </c>
      <c r="AY82" s="218">
        <f t="shared" si="54"/>
        <v>0</v>
      </c>
      <c r="AZ82" s="218">
        <f t="shared" si="54"/>
        <v>0</v>
      </c>
      <c r="BA82" s="219">
        <v>0</v>
      </c>
      <c r="BD82" s="90"/>
      <c r="BE82" s="90"/>
    </row>
    <row r="83" spans="2:57" s="91" customFormat="1" ht="24" customHeight="1">
      <c r="B83" s="282" t="s">
        <v>597</v>
      </c>
      <c r="C83" s="143"/>
      <c r="D83" s="143"/>
      <c r="E83" s="143"/>
      <c r="F83" s="143"/>
      <c r="G83" s="143"/>
      <c r="H83" s="143"/>
      <c r="I83" s="143"/>
      <c r="J83" s="143"/>
      <c r="K83" s="143"/>
      <c r="L83" s="152"/>
      <c r="M83" s="143"/>
      <c r="N83" s="143"/>
      <c r="O83" s="143"/>
      <c r="P83" s="143"/>
      <c r="Q83" s="143"/>
      <c r="R83" s="157"/>
      <c r="S83" s="143"/>
      <c r="T83" s="143"/>
      <c r="U83" s="143"/>
      <c r="V83" s="143"/>
      <c r="W83" s="143"/>
      <c r="X83" s="157"/>
      <c r="Y83" s="144">
        <f t="shared" ref="Y83:AX83" si="55">Y82*Y42/$O$42</f>
        <v>81977.986468478775</v>
      </c>
      <c r="Z83" s="144">
        <f t="shared" si="55"/>
        <v>173259.98311622324</v>
      </c>
      <c r="AA83" s="144">
        <f t="shared" si="55"/>
        <v>120298.18393323327</v>
      </c>
      <c r="AB83" s="144">
        <f t="shared" si="55"/>
        <v>247501.13959764541</v>
      </c>
      <c r="AC83" s="144">
        <f t="shared" si="55"/>
        <v>137427.25884477858</v>
      </c>
      <c r="AD83" s="145">
        <f t="shared" si="55"/>
        <v>138161.92486752203</v>
      </c>
      <c r="AE83" s="144">
        <f t="shared" si="55"/>
        <v>215637.82934551721</v>
      </c>
      <c r="AF83" s="144">
        <f t="shared" si="55"/>
        <v>226946.92787367653</v>
      </c>
      <c r="AG83" s="144">
        <f t="shared" si="55"/>
        <v>172348.96759193254</v>
      </c>
      <c r="AH83" s="144">
        <f t="shared" si="55"/>
        <v>101154.29140785041</v>
      </c>
      <c r="AI83" s="144">
        <f t="shared" si="55"/>
        <v>248028.16014845885</v>
      </c>
      <c r="AJ83" s="144">
        <f t="shared" si="55"/>
        <v>105828.02027351817</v>
      </c>
      <c r="AK83" s="144">
        <f t="shared" si="55"/>
        <v>94061.30816394389</v>
      </c>
      <c r="AL83" s="144">
        <f t="shared" si="55"/>
        <v>138722.36444650462</v>
      </c>
      <c r="AM83" s="144">
        <f t="shared" si="55"/>
        <v>154249.75231170221</v>
      </c>
      <c r="AN83" s="144">
        <f t="shared" si="55"/>
        <v>113723.31993243104</v>
      </c>
      <c r="AO83" s="144">
        <f t="shared" si="55"/>
        <v>223151.31081872692</v>
      </c>
      <c r="AP83" s="145">
        <f t="shared" si="55"/>
        <v>210471.69257977666</v>
      </c>
      <c r="AQ83" s="146">
        <f t="shared" si="55"/>
        <v>131501.63763171592</v>
      </c>
      <c r="AR83" s="144">
        <f t="shared" si="55"/>
        <v>268006.33979842014</v>
      </c>
      <c r="AS83" s="144">
        <f t="shared" si="55"/>
        <v>222920.0731391914</v>
      </c>
      <c r="AT83" s="144">
        <f t="shared" si="55"/>
        <v>130690.77795576301</v>
      </c>
      <c r="AU83" s="144">
        <f t="shared" si="55"/>
        <v>201270.89950897955</v>
      </c>
      <c r="AV83" s="144">
        <f t="shared" si="55"/>
        <v>103053.56562016399</v>
      </c>
      <c r="AW83" s="144">
        <f t="shared" si="55"/>
        <v>62561.898531004939</v>
      </c>
      <c r="AX83" s="145">
        <f t="shared" si="55"/>
        <v>213893.84637471673</v>
      </c>
      <c r="AY83" s="143"/>
      <c r="AZ83" s="143"/>
      <c r="BA83" s="145">
        <v>0</v>
      </c>
      <c r="BB83" s="90"/>
      <c r="BC83" s="90"/>
      <c r="BD83" s="90"/>
    </row>
    <row r="84" spans="2:57" ht="24" customHeight="1">
      <c r="B84" s="283" t="s">
        <v>595</v>
      </c>
      <c r="C84" s="142"/>
      <c r="D84" s="142"/>
      <c r="E84" s="142"/>
      <c r="F84" s="142"/>
      <c r="G84" s="142"/>
      <c r="H84" s="142"/>
      <c r="I84" s="142"/>
      <c r="J84" s="142"/>
      <c r="K84" s="142"/>
      <c r="L84" s="152"/>
      <c r="M84" s="544"/>
      <c r="N84" s="545"/>
      <c r="O84" s="545"/>
      <c r="P84" s="545"/>
      <c r="Q84" s="545"/>
      <c r="R84" s="546"/>
      <c r="S84" s="142"/>
      <c r="T84" s="142"/>
      <c r="U84" s="142"/>
      <c r="V84" s="142"/>
      <c r="W84" s="142"/>
      <c r="X84" s="158"/>
      <c r="Y84" s="533">
        <f>SUM(Y83:AD83)</f>
        <v>898626.4768278813</v>
      </c>
      <c r="Z84" s="534"/>
      <c r="AA84" s="534"/>
      <c r="AB84" s="534"/>
      <c r="AC84" s="534"/>
      <c r="AD84" s="535"/>
      <c r="AE84" s="536">
        <f>SUM(AE83:AP83)</f>
        <v>2004323.9448940393</v>
      </c>
      <c r="AF84" s="537"/>
      <c r="AG84" s="537"/>
      <c r="AH84" s="537"/>
      <c r="AI84" s="537"/>
      <c r="AJ84" s="537"/>
      <c r="AK84" s="537"/>
      <c r="AL84" s="537"/>
      <c r="AM84" s="537"/>
      <c r="AN84" s="537"/>
      <c r="AO84" s="537"/>
      <c r="AP84" s="538"/>
      <c r="AQ84" s="539">
        <f>SUM(AQ83:AX83)</f>
        <v>1333899.0385599555</v>
      </c>
      <c r="AR84" s="540"/>
      <c r="AS84" s="540"/>
      <c r="AT84" s="540"/>
      <c r="AU84" s="540"/>
      <c r="AV84" s="540"/>
      <c r="AW84" s="540"/>
      <c r="AX84" s="541"/>
      <c r="AY84" s="150"/>
      <c r="AZ84" s="150"/>
      <c r="BA84" s="305">
        <v>0</v>
      </c>
      <c r="BB84" s="89"/>
      <c r="BC84" s="89"/>
      <c r="BE84"/>
    </row>
    <row r="85" spans="2:57" ht="24" customHeight="1">
      <c r="B85" s="284" t="s">
        <v>596</v>
      </c>
      <c r="C85" s="151"/>
      <c r="D85" s="151"/>
      <c r="E85" s="151"/>
      <c r="F85" s="151"/>
      <c r="G85" s="151"/>
      <c r="H85" s="151"/>
      <c r="I85" s="151"/>
      <c r="J85" s="151"/>
      <c r="K85" s="151"/>
      <c r="L85" s="152"/>
      <c r="M85" s="151"/>
      <c r="N85" s="151"/>
      <c r="O85" s="151"/>
      <c r="P85" s="151"/>
      <c r="Q85" s="151"/>
      <c r="R85" s="151"/>
      <c r="S85" s="151"/>
      <c r="T85" s="151"/>
      <c r="U85" s="151"/>
      <c r="V85" s="151"/>
      <c r="W85" s="151"/>
      <c r="X85" s="159"/>
      <c r="Y85" s="550">
        <f>SUM(Y84:AX84)</f>
        <v>4236849.4602818759</v>
      </c>
      <c r="Z85" s="551"/>
      <c r="AA85" s="551"/>
      <c r="AB85" s="551"/>
      <c r="AC85" s="551"/>
      <c r="AD85" s="551"/>
      <c r="AE85" s="551"/>
      <c r="AF85" s="551"/>
      <c r="AG85" s="551"/>
      <c r="AH85" s="551"/>
      <c r="AI85" s="551"/>
      <c r="AJ85" s="551"/>
      <c r="AK85" s="551"/>
      <c r="AL85" s="551"/>
      <c r="AM85" s="551"/>
      <c r="AN85" s="551"/>
      <c r="AO85" s="551"/>
      <c r="AP85" s="551"/>
      <c r="AQ85" s="551"/>
      <c r="AR85" s="551"/>
      <c r="AS85" s="551"/>
      <c r="AT85" s="551"/>
      <c r="AU85" s="551"/>
      <c r="AV85" s="551"/>
      <c r="AW85" s="551"/>
      <c r="AX85" s="551"/>
      <c r="AY85" s="551"/>
      <c r="AZ85" s="551"/>
      <c r="BA85" s="552"/>
      <c r="BB85" s="89"/>
      <c r="BC85" s="89"/>
      <c r="BE85"/>
    </row>
    <row r="86" spans="2:57" ht="23.4" customHeight="1">
      <c r="B86" s="285"/>
      <c r="C86" s="286"/>
      <c r="D86" s="286"/>
      <c r="E86" s="286"/>
      <c r="F86" s="286"/>
      <c r="G86" s="286"/>
      <c r="H86" s="286"/>
      <c r="I86" s="286"/>
      <c r="J86" s="286"/>
      <c r="K86" s="286"/>
      <c r="L86" s="286"/>
      <c r="M86" s="286"/>
      <c r="N86" s="286"/>
      <c r="O86" s="286"/>
      <c r="P86" s="286"/>
      <c r="Q86" s="286"/>
      <c r="R86" s="286"/>
      <c r="S86" s="286"/>
      <c r="T86" s="286"/>
      <c r="U86" s="286"/>
      <c r="V86" s="286"/>
      <c r="W86" s="286"/>
      <c r="X86" s="286"/>
      <c r="Y86" s="286"/>
      <c r="Z86" s="286"/>
      <c r="AA86" s="286"/>
      <c r="AB86" s="286"/>
      <c r="AC86" s="286"/>
      <c r="AD86" s="286"/>
      <c r="AE86" s="286"/>
      <c r="AF86" s="286"/>
      <c r="AG86" s="286"/>
      <c r="AH86" s="286"/>
      <c r="AI86" s="286"/>
      <c r="AJ86" s="286"/>
      <c r="AK86" s="286"/>
      <c r="AL86" s="286"/>
      <c r="AM86" s="286"/>
      <c r="AN86" s="286"/>
      <c r="AO86" s="286"/>
      <c r="AP86" s="286"/>
      <c r="AQ86" s="286"/>
      <c r="AR86" s="286"/>
      <c r="AS86" s="286"/>
      <c r="AT86" s="286"/>
      <c r="AU86" s="286"/>
      <c r="AV86" s="286"/>
      <c r="AW86" s="286"/>
      <c r="AX86" s="286"/>
      <c r="AY86" s="286"/>
      <c r="AZ86" s="286"/>
      <c r="BA86" s="287"/>
    </row>
    <row r="87" spans="2:57" ht="28.95" customHeight="1">
      <c r="B87" s="295" t="s">
        <v>603</v>
      </c>
      <c r="C87" s="300"/>
      <c r="D87" s="300"/>
      <c r="E87" s="300"/>
      <c r="F87" s="300"/>
      <c r="G87" s="300"/>
      <c r="H87" s="300"/>
      <c r="I87" s="300"/>
      <c r="J87" s="300"/>
      <c r="K87" s="300"/>
      <c r="L87" s="298"/>
      <c r="M87" s="308">
        <f>M82+M24</f>
        <v>80800</v>
      </c>
      <c r="N87" s="309">
        <f t="shared" ref="N87:BA87" si="56">N82+N24</f>
        <v>20200</v>
      </c>
      <c r="O87" s="309">
        <f t="shared" si="56"/>
        <v>72000</v>
      </c>
      <c r="P87" s="309">
        <f t="shared" si="56"/>
        <v>36000.000000000007</v>
      </c>
      <c r="Q87" s="309">
        <f t="shared" si="56"/>
        <v>0</v>
      </c>
      <c r="R87" s="304">
        <f t="shared" si="56"/>
        <v>112800</v>
      </c>
      <c r="S87" s="309">
        <f t="shared" si="56"/>
        <v>28200</v>
      </c>
      <c r="T87" s="309">
        <f t="shared" si="56"/>
        <v>0</v>
      </c>
      <c r="U87" s="309">
        <f t="shared" si="56"/>
        <v>26550</v>
      </c>
      <c r="V87" s="309">
        <f t="shared" si="56"/>
        <v>0</v>
      </c>
      <c r="W87" s="309">
        <f t="shared" si="56"/>
        <v>24250</v>
      </c>
      <c r="X87" s="309">
        <f t="shared" si="56"/>
        <v>17400</v>
      </c>
      <c r="Y87" s="309">
        <f t="shared" si="56"/>
        <v>99645.41706650694</v>
      </c>
      <c r="Z87" s="309">
        <f t="shared" si="56"/>
        <v>190073.58055945137</v>
      </c>
      <c r="AA87" s="309">
        <f t="shared" si="56"/>
        <v>137476.31755945139</v>
      </c>
      <c r="AB87" s="309">
        <f t="shared" si="56"/>
        <v>263286.92822102777</v>
      </c>
      <c r="AC87" s="309">
        <f t="shared" si="56"/>
        <v>159480.16434206246</v>
      </c>
      <c r="AD87" s="304">
        <f t="shared" si="56"/>
        <v>154849.60788682153</v>
      </c>
      <c r="AE87" s="309">
        <f t="shared" si="56"/>
        <v>231247.23435316689</v>
      </c>
      <c r="AF87" s="309">
        <f t="shared" si="56"/>
        <v>242239.09709099733</v>
      </c>
      <c r="AG87" s="309">
        <f t="shared" si="56"/>
        <v>188234.7902859707</v>
      </c>
      <c r="AH87" s="309">
        <f t="shared" si="56"/>
        <v>110264.70096358974</v>
      </c>
      <c r="AI87" s="309">
        <f t="shared" si="56"/>
        <v>260016.27402125372</v>
      </c>
      <c r="AJ87" s="309">
        <f t="shared" si="56"/>
        <v>114706.27191278555</v>
      </c>
      <c r="AK87" s="309">
        <f t="shared" si="56"/>
        <v>103060.26505578755</v>
      </c>
      <c r="AL87" s="309">
        <f t="shared" si="56"/>
        <v>146848.80811388278</v>
      </c>
      <c r="AM87" s="309">
        <f t="shared" si="56"/>
        <v>161979.93847747584</v>
      </c>
      <c r="AN87" s="309">
        <f t="shared" si="56"/>
        <v>122124.03269868797</v>
      </c>
      <c r="AO87" s="309">
        <f t="shared" si="56"/>
        <v>234503.37153638023</v>
      </c>
      <c r="AP87" s="304">
        <f t="shared" si="56"/>
        <v>216669.85678390766</v>
      </c>
      <c r="AQ87" s="309">
        <f t="shared" si="56"/>
        <v>139256.25902398679</v>
      </c>
      <c r="AR87" s="309">
        <f t="shared" si="56"/>
        <v>272590.6816804916</v>
      </c>
      <c r="AS87" s="309">
        <f t="shared" si="56"/>
        <v>228349.68603675824</v>
      </c>
      <c r="AT87" s="309">
        <f t="shared" si="56"/>
        <v>138165.98483128202</v>
      </c>
      <c r="AU87" s="309">
        <f t="shared" si="56"/>
        <v>212149.62246637361</v>
      </c>
      <c r="AV87" s="309">
        <f t="shared" si="56"/>
        <v>111036.73470250001</v>
      </c>
      <c r="AW87" s="309">
        <f t="shared" si="56"/>
        <v>76781.193702500008</v>
      </c>
      <c r="AX87" s="304">
        <f t="shared" si="56"/>
        <v>253344.04312490002</v>
      </c>
      <c r="AY87" s="313">
        <f t="shared" si="56"/>
        <v>0</v>
      </c>
      <c r="AZ87" s="303"/>
      <c r="BA87" s="304">
        <f t="shared" si="56"/>
        <v>10500</v>
      </c>
    </row>
    <row r="88" spans="2:57" ht="28.95" customHeight="1">
      <c r="B88" s="294" t="s">
        <v>597</v>
      </c>
      <c r="C88" s="299"/>
      <c r="D88" s="299"/>
      <c r="E88" s="299"/>
      <c r="F88" s="299"/>
      <c r="G88" s="299"/>
      <c r="H88" s="299"/>
      <c r="I88" s="299"/>
      <c r="J88" s="299"/>
      <c r="K88" s="299"/>
      <c r="L88" s="298"/>
      <c r="M88" s="306">
        <f>M83+M25</f>
        <v>93318.869841269843</v>
      </c>
      <c r="N88" s="307">
        <f t="shared" ref="N88:BA88" si="57">N83+N25</f>
        <v>23349.36780045351</v>
      </c>
      <c r="O88" s="307">
        <f t="shared" si="57"/>
        <v>83295.510204081627</v>
      </c>
      <c r="P88" s="307">
        <f t="shared" si="57"/>
        <v>41682.77551020409</v>
      </c>
      <c r="Q88" s="307">
        <f t="shared" si="57"/>
        <v>0</v>
      </c>
      <c r="R88" s="302">
        <f t="shared" si="57"/>
        <v>130825.49115646257</v>
      </c>
      <c r="S88" s="307">
        <f t="shared" si="57"/>
        <v>32733.805442176868</v>
      </c>
      <c r="T88" s="307">
        <f t="shared" si="57"/>
        <v>0</v>
      </c>
      <c r="U88" s="307">
        <f t="shared" si="57"/>
        <v>30870.184693877549</v>
      </c>
      <c r="V88" s="307">
        <f t="shared" si="57"/>
        <v>0</v>
      </c>
      <c r="W88" s="307">
        <f t="shared" si="57"/>
        <v>28243.111678004534</v>
      </c>
      <c r="X88" s="307">
        <f t="shared" si="57"/>
        <v>20282.087074829931</v>
      </c>
      <c r="Y88" s="307">
        <f t="shared" si="57"/>
        <v>103341.88166122253</v>
      </c>
      <c r="Z88" s="307">
        <f t="shared" si="57"/>
        <v>194641.69280148402</v>
      </c>
      <c r="AA88" s="307">
        <f t="shared" si="57"/>
        <v>141697.70811101104</v>
      </c>
      <c r="AB88" s="307">
        <f t="shared" si="57"/>
        <v>268918.47826794017</v>
      </c>
      <c r="AC88" s="307">
        <f t="shared" si="57"/>
        <v>165007.54295997132</v>
      </c>
      <c r="AD88" s="302">
        <f t="shared" si="57"/>
        <v>159614.89252285083</v>
      </c>
      <c r="AE88" s="307">
        <f t="shared" si="57"/>
        <v>237108.61149336302</v>
      </c>
      <c r="AF88" s="307">
        <f t="shared" si="57"/>
        <v>248435.52451403934</v>
      </c>
      <c r="AG88" s="307">
        <f t="shared" si="57"/>
        <v>193855.37872481236</v>
      </c>
      <c r="AH88" s="307">
        <f t="shared" si="57"/>
        <v>113628.20592213613</v>
      </c>
      <c r="AI88" s="307">
        <f t="shared" si="57"/>
        <v>266688.17248859489</v>
      </c>
      <c r="AJ88" s="307">
        <f t="shared" si="57"/>
        <v>118322.58282045694</v>
      </c>
      <c r="AK88" s="307">
        <f t="shared" si="57"/>
        <v>106566.19472720919</v>
      </c>
      <c r="AL88" s="307">
        <f t="shared" si="57"/>
        <v>151237.57502609646</v>
      </c>
      <c r="AM88" s="307">
        <f t="shared" si="57"/>
        <v>166775.28690762058</v>
      </c>
      <c r="AN88" s="307">
        <f t="shared" si="57"/>
        <v>126259.17854467595</v>
      </c>
      <c r="AO88" s="307">
        <f t="shared" si="57"/>
        <v>241903.91011396502</v>
      </c>
      <c r="AP88" s="302">
        <f t="shared" si="57"/>
        <v>223028.19922467461</v>
      </c>
      <c r="AQ88" s="307">
        <f t="shared" si="57"/>
        <v>144068.46829294041</v>
      </c>
      <c r="AR88" s="307">
        <f t="shared" si="57"/>
        <v>280583.49447597115</v>
      </c>
      <c r="AS88" s="307">
        <f t="shared" si="57"/>
        <v>235507.55183306895</v>
      </c>
      <c r="AT88" s="307">
        <f t="shared" si="57"/>
        <v>143288.58066596711</v>
      </c>
      <c r="AU88" s="307">
        <f t="shared" si="57"/>
        <v>220116.08575931969</v>
      </c>
      <c r="AV88" s="307">
        <f t="shared" si="57"/>
        <v>115672.01636302113</v>
      </c>
      <c r="AW88" s="307">
        <f t="shared" si="57"/>
        <v>81437.947099712415</v>
      </c>
      <c r="AX88" s="302">
        <f t="shared" si="57"/>
        <v>267759.59694161016</v>
      </c>
      <c r="AY88" s="314">
        <f t="shared" si="57"/>
        <v>0</v>
      </c>
      <c r="AZ88" s="301"/>
      <c r="BA88" s="302">
        <f t="shared" si="57"/>
        <v>12617.119047619046</v>
      </c>
    </row>
    <row r="89" spans="2:57" ht="28.95" customHeight="1">
      <c r="B89" s="296" t="s">
        <v>595</v>
      </c>
      <c r="C89" s="297"/>
      <c r="D89" s="297"/>
      <c r="E89" s="297"/>
      <c r="F89" s="297"/>
      <c r="G89" s="297"/>
      <c r="H89" s="297"/>
      <c r="I89" s="297"/>
      <c r="J89" s="297"/>
      <c r="K89" s="297"/>
      <c r="L89" s="298"/>
      <c r="M89" s="556">
        <f>M84+M26</f>
        <v>372472.01451247162</v>
      </c>
      <c r="N89" s="557"/>
      <c r="O89" s="557"/>
      <c r="P89" s="557"/>
      <c r="Q89" s="557"/>
      <c r="R89" s="558"/>
      <c r="S89" s="553">
        <f>Y84+S26</f>
        <v>1145351.3852133688</v>
      </c>
      <c r="T89" s="554"/>
      <c r="U89" s="554"/>
      <c r="V89" s="554"/>
      <c r="W89" s="554"/>
      <c r="X89" s="554"/>
      <c r="Y89" s="554"/>
      <c r="Z89" s="554"/>
      <c r="AA89" s="554"/>
      <c r="AB89" s="554"/>
      <c r="AC89" s="554"/>
      <c r="AD89" s="555"/>
      <c r="AE89" s="559">
        <f>AE84+AE26</f>
        <v>2193808.8205076447</v>
      </c>
      <c r="AF89" s="560"/>
      <c r="AG89" s="560"/>
      <c r="AH89" s="560"/>
      <c r="AI89" s="560"/>
      <c r="AJ89" s="560"/>
      <c r="AK89" s="560"/>
      <c r="AL89" s="560"/>
      <c r="AM89" s="560"/>
      <c r="AN89" s="560"/>
      <c r="AO89" s="560"/>
      <c r="AP89" s="561"/>
      <c r="AQ89" s="562">
        <f>AQ84+AQ26</f>
        <v>1488433.7414316109</v>
      </c>
      <c r="AR89" s="563"/>
      <c r="AS89" s="563"/>
      <c r="AT89" s="563"/>
      <c r="AU89" s="563"/>
      <c r="AV89" s="563"/>
      <c r="AW89" s="563"/>
      <c r="AX89" s="564"/>
      <c r="AY89" s="315"/>
      <c r="AZ89" s="310"/>
      <c r="BA89" s="311">
        <f>BA84+BA26</f>
        <v>12617.119047619046</v>
      </c>
    </row>
    <row r="90" spans="2:57" ht="28.95" customHeight="1">
      <c r="B90" s="296" t="s">
        <v>596</v>
      </c>
      <c r="C90" s="297"/>
      <c r="D90" s="297"/>
      <c r="E90" s="297"/>
      <c r="F90" s="297"/>
      <c r="G90" s="297"/>
      <c r="H90" s="297"/>
      <c r="I90" s="297"/>
      <c r="J90" s="297"/>
      <c r="K90" s="297"/>
      <c r="L90" s="298"/>
      <c r="M90" s="547">
        <f>Y85+M27</f>
        <v>5212683.0807127152</v>
      </c>
      <c r="N90" s="548"/>
      <c r="O90" s="548"/>
      <c r="P90" s="548"/>
      <c r="Q90" s="548"/>
      <c r="R90" s="548"/>
      <c r="S90" s="548"/>
      <c r="T90" s="548"/>
      <c r="U90" s="548"/>
      <c r="V90" s="548"/>
      <c r="W90" s="548"/>
      <c r="X90" s="548"/>
      <c r="Y90" s="548"/>
      <c r="Z90" s="548"/>
      <c r="AA90" s="548"/>
      <c r="AB90" s="548"/>
      <c r="AC90" s="548"/>
      <c r="AD90" s="548"/>
      <c r="AE90" s="548"/>
      <c r="AF90" s="548"/>
      <c r="AG90" s="548"/>
      <c r="AH90" s="548"/>
      <c r="AI90" s="548"/>
      <c r="AJ90" s="548"/>
      <c r="AK90" s="548"/>
      <c r="AL90" s="548"/>
      <c r="AM90" s="548"/>
      <c r="AN90" s="548"/>
      <c r="AO90" s="548"/>
      <c r="AP90" s="548"/>
      <c r="AQ90" s="548"/>
      <c r="AR90" s="548"/>
      <c r="AS90" s="548"/>
      <c r="AT90" s="548"/>
      <c r="AU90" s="548"/>
      <c r="AV90" s="548"/>
      <c r="AW90" s="548"/>
      <c r="AX90" s="548"/>
      <c r="AY90" s="548"/>
      <c r="AZ90" s="548"/>
      <c r="BA90" s="549"/>
    </row>
  </sheetData>
  <mergeCells count="25">
    <mergeCell ref="M90:BA90"/>
    <mergeCell ref="Y85:BA85"/>
    <mergeCell ref="S89:AD89"/>
    <mergeCell ref="M89:R89"/>
    <mergeCell ref="AE89:AP89"/>
    <mergeCell ref="AQ89:AX89"/>
    <mergeCell ref="Y84:AD84"/>
    <mergeCell ref="AE84:AP84"/>
    <mergeCell ref="AQ84:AX84"/>
    <mergeCell ref="D30:K30"/>
    <mergeCell ref="M84:R84"/>
    <mergeCell ref="AE26:AP26"/>
    <mergeCell ref="AQ26:AX26"/>
    <mergeCell ref="S26:AD26"/>
    <mergeCell ref="M26:R26"/>
    <mergeCell ref="B30:B31"/>
    <mergeCell ref="C30:C31"/>
    <mergeCell ref="M27:BA27"/>
    <mergeCell ref="AE29:BA29"/>
    <mergeCell ref="B29:AD29"/>
    <mergeCell ref="B2:AD2"/>
    <mergeCell ref="AE2:BA2"/>
    <mergeCell ref="D3:K3"/>
    <mergeCell ref="C3:C4"/>
    <mergeCell ref="B3:B4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125" scale="23" orientation="landscape" r:id="rId1"/>
  <colBreaks count="1" manualBreakCount="1">
    <brk id="30" max="90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E108"/>
  <sheetViews>
    <sheetView showGridLines="0" view="pageBreakPreview" zoomScale="70" zoomScaleNormal="85" zoomScaleSheetLayoutView="70" workbookViewId="0">
      <pane ySplit="5" topLeftCell="A66" activePane="bottomLeft" state="frozen"/>
      <selection activeCell="C15" sqref="C15:I15"/>
      <selection pane="bottomLeft" activeCell="F83" sqref="F83"/>
    </sheetView>
  </sheetViews>
  <sheetFormatPr baseColWidth="10" defaultColWidth="11.44140625" defaultRowHeight="14.4"/>
  <cols>
    <col min="1" max="1" width="3.33203125" style="2" customWidth="1"/>
    <col min="2" max="2" width="2.6640625" style="3" bestFit="1" customWidth="1"/>
    <col min="3" max="3" width="57.109375" style="24" customWidth="1"/>
    <col min="4" max="4" width="4.5546875" style="1" bestFit="1" customWidth="1"/>
    <col min="5" max="5" width="7.88671875" style="1" customWidth="1"/>
    <col min="6" max="6" width="12" style="1" bestFit="1" customWidth="1"/>
    <col min="7" max="7" width="14.5546875" style="1" bestFit="1" customWidth="1"/>
    <col min="8" max="8" width="2.6640625" style="1" customWidth="1"/>
    <col min="9" max="9" width="7.5546875" style="1" bestFit="1" customWidth="1"/>
    <col min="10" max="10" width="11.44140625" style="1" bestFit="1" customWidth="1"/>
    <col min="11" max="11" width="14.5546875" style="1" customWidth="1"/>
    <col min="12" max="12" width="2.6640625" style="1" customWidth="1"/>
    <col min="13" max="13" width="7.5546875" style="1" bestFit="1" customWidth="1"/>
    <col min="14" max="14" width="11.44140625" style="1" customWidth="1"/>
    <col min="15" max="15" width="14.44140625" style="1" bestFit="1" customWidth="1"/>
    <col min="16" max="16" width="2.6640625" style="1" customWidth="1"/>
    <col min="17" max="17" width="7.5546875" style="1" bestFit="1" customWidth="1"/>
    <col min="18" max="18" width="11.44140625" style="1" customWidth="1"/>
    <col min="19" max="19" width="14.44140625" style="1" bestFit="1" customWidth="1"/>
    <col min="20" max="20" width="2.6640625" style="1" customWidth="1"/>
    <col min="21" max="21" width="7.5546875" style="1" bestFit="1" customWidth="1"/>
    <col min="22" max="22" width="11.44140625" style="1" customWidth="1"/>
    <col min="23" max="23" width="14.44140625" style="1" bestFit="1" customWidth="1"/>
    <col min="24" max="24" width="2.6640625" style="1" customWidth="1"/>
    <col min="25" max="25" width="7.5546875" style="1" bestFit="1" customWidth="1"/>
    <col min="26" max="26" width="11.44140625" style="1" customWidth="1"/>
    <col min="27" max="27" width="14.44140625" style="1" bestFit="1" customWidth="1"/>
    <col min="28" max="28" width="14.5546875" style="1" bestFit="1" customWidth="1"/>
    <col min="29" max="29" width="12.109375" style="1" bestFit="1" customWidth="1"/>
    <col min="30" max="30" width="11.44140625" style="1"/>
    <col min="31" max="31" width="15" style="1" customWidth="1"/>
    <col min="32" max="16384" width="11.44140625" style="1"/>
  </cols>
  <sheetData>
    <row r="1" spans="1:28" ht="23.25" customHeight="1">
      <c r="A1" s="566" t="s">
        <v>32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8"/>
    </row>
    <row r="2" spans="1:28" ht="8.4" customHeight="1">
      <c r="A2" s="15"/>
      <c r="C2" s="3"/>
      <c r="D2" s="3"/>
      <c r="E2" s="3"/>
      <c r="F2" s="3"/>
      <c r="G2" s="2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23"/>
    </row>
    <row r="3" spans="1:28" ht="19.5" customHeight="1">
      <c r="A3" s="16"/>
      <c r="C3" s="203" t="str">
        <f>'Page de garde'!C15</f>
        <v>IND 00 du 10/06/2025</v>
      </c>
      <c r="E3" s="569" t="s">
        <v>12</v>
      </c>
      <c r="F3" s="570"/>
      <c r="G3" s="571"/>
      <c r="I3" s="572" t="s">
        <v>30</v>
      </c>
      <c r="J3" s="573"/>
      <c r="K3" s="574"/>
      <c r="M3" s="572" t="s">
        <v>31</v>
      </c>
      <c r="N3" s="573"/>
      <c r="O3" s="574"/>
      <c r="Q3" s="572" t="s">
        <v>33</v>
      </c>
      <c r="R3" s="573"/>
      <c r="S3" s="574"/>
      <c r="U3" s="572" t="s">
        <v>34</v>
      </c>
      <c r="V3" s="573"/>
      <c r="W3" s="574"/>
      <c r="Y3" s="572" t="s">
        <v>35</v>
      </c>
      <c r="Z3" s="573"/>
      <c r="AA3" s="574"/>
    </row>
    <row r="4" spans="1:28" ht="19.5" customHeight="1">
      <c r="A4" s="16"/>
      <c r="E4" s="76"/>
      <c r="F4" s="77"/>
      <c r="G4" s="78" t="s">
        <v>11</v>
      </c>
      <c r="I4" s="57"/>
      <c r="J4" s="58"/>
      <c r="K4" s="59" t="s">
        <v>11</v>
      </c>
      <c r="M4" s="60"/>
      <c r="N4" s="58"/>
      <c r="O4" s="59" t="s">
        <v>11</v>
      </c>
      <c r="Q4" s="60"/>
      <c r="R4" s="58"/>
      <c r="S4" s="59" t="s">
        <v>11</v>
      </c>
      <c r="U4" s="60"/>
      <c r="V4" s="58"/>
      <c r="W4" s="59" t="s">
        <v>11</v>
      </c>
      <c r="Y4" s="60"/>
      <c r="Z4" s="58"/>
      <c r="AA4" s="59" t="s">
        <v>11</v>
      </c>
    </row>
    <row r="5" spans="1:28" s="17" customFormat="1" ht="24">
      <c r="A5" s="565" t="s">
        <v>1</v>
      </c>
      <c r="B5" s="565"/>
      <c r="C5" s="25" t="s">
        <v>2</v>
      </c>
      <c r="D5" s="18" t="s">
        <v>0</v>
      </c>
      <c r="E5" s="79" t="s">
        <v>3</v>
      </c>
      <c r="F5" s="79" t="s">
        <v>4</v>
      </c>
      <c r="G5" s="79" t="s">
        <v>5</v>
      </c>
      <c r="H5" s="18"/>
      <c r="I5" s="19" t="s">
        <v>3</v>
      </c>
      <c r="J5" s="19" t="s">
        <v>4</v>
      </c>
      <c r="K5" s="19" t="s">
        <v>5</v>
      </c>
      <c r="L5" s="20"/>
      <c r="M5" s="19" t="s">
        <v>3</v>
      </c>
      <c r="N5" s="19" t="s">
        <v>4</v>
      </c>
      <c r="O5" s="19" t="s">
        <v>5</v>
      </c>
      <c r="P5" s="20"/>
      <c r="Q5" s="19" t="s">
        <v>3</v>
      </c>
      <c r="R5" s="19" t="s">
        <v>4</v>
      </c>
      <c r="S5" s="19" t="s">
        <v>5</v>
      </c>
      <c r="T5" s="20"/>
      <c r="U5" s="19" t="s">
        <v>3</v>
      </c>
      <c r="V5" s="19" t="s">
        <v>4</v>
      </c>
      <c r="W5" s="19" t="s">
        <v>5</v>
      </c>
      <c r="X5" s="20"/>
      <c r="Y5" s="19" t="s">
        <v>3</v>
      </c>
      <c r="Z5" s="19" t="s">
        <v>4</v>
      </c>
      <c r="AA5" s="19" t="s">
        <v>5</v>
      </c>
    </row>
    <row r="6" spans="1:28">
      <c r="A6" s="61"/>
      <c r="B6" s="62" t="s">
        <v>19</v>
      </c>
      <c r="C6" s="63" t="s">
        <v>378</v>
      </c>
      <c r="D6" s="64"/>
      <c r="E6" s="366"/>
      <c r="F6" s="66"/>
      <c r="G6" s="66"/>
      <c r="H6" s="64"/>
      <c r="I6" s="366"/>
      <c r="J6" s="66"/>
      <c r="K6" s="66"/>
      <c r="L6" s="26"/>
      <c r="M6" s="366"/>
      <c r="N6" s="66"/>
      <c r="O6" s="66"/>
      <c r="P6" s="26"/>
      <c r="Q6" s="366"/>
      <c r="R6" s="66"/>
      <c r="S6" s="66"/>
      <c r="T6" s="26"/>
      <c r="U6" s="366"/>
      <c r="V6" s="66"/>
      <c r="W6" s="66"/>
      <c r="X6" s="26"/>
      <c r="Y6" s="366"/>
      <c r="Z6" s="66"/>
      <c r="AA6" s="66"/>
    </row>
    <row r="7" spans="1:28">
      <c r="A7" s="14"/>
      <c r="B7" s="31"/>
      <c r="C7" s="28" t="s">
        <v>367</v>
      </c>
      <c r="D7" s="67" t="s">
        <v>6</v>
      </c>
      <c r="E7" s="29">
        <f>I7+M7+Q7+U7+Y7</f>
        <v>4</v>
      </c>
      <c r="F7" s="32">
        <v>450</v>
      </c>
      <c r="G7" s="32">
        <f>K7+O7+S7+W7+AA7</f>
        <v>1800</v>
      </c>
      <c r="H7" s="67"/>
      <c r="I7" s="67">
        <v>1</v>
      </c>
      <c r="J7" s="32">
        <f t="shared" ref="J7:J11" si="0">$F7</f>
        <v>450</v>
      </c>
      <c r="K7" s="32">
        <f t="shared" ref="K7:K10" si="1">I7*J7</f>
        <v>450</v>
      </c>
      <c r="M7" s="67">
        <v>1</v>
      </c>
      <c r="N7" s="32">
        <f t="shared" ref="N7:N11" si="2">$F7</f>
        <v>450</v>
      </c>
      <c r="O7" s="32">
        <f t="shared" ref="O7:O11" si="3">M7*N7</f>
        <v>450</v>
      </c>
      <c r="Q7" s="67">
        <v>1</v>
      </c>
      <c r="R7" s="32">
        <f>$F7</f>
        <v>450</v>
      </c>
      <c r="S7" s="32">
        <f>Q7*R7</f>
        <v>450</v>
      </c>
      <c r="U7" s="67">
        <v>1</v>
      </c>
      <c r="V7" s="32">
        <f t="shared" ref="V7:V11" si="4">$F7</f>
        <v>450</v>
      </c>
      <c r="W7" s="32">
        <f t="shared" ref="W7:W11" si="5">U7*V7</f>
        <v>450</v>
      </c>
      <c r="Y7" s="67">
        <v>0</v>
      </c>
      <c r="Z7" s="32">
        <f t="shared" ref="Z7:Z11" si="6">$F7</f>
        <v>450</v>
      </c>
      <c r="AA7" s="32">
        <f t="shared" ref="AA7:AA11" si="7">Y7*Z7</f>
        <v>0</v>
      </c>
    </row>
    <row r="8" spans="1:28">
      <c r="A8" s="320"/>
      <c r="B8" s="321"/>
      <c r="C8" s="192" t="s">
        <v>368</v>
      </c>
      <c r="D8" s="197" t="s">
        <v>69</v>
      </c>
      <c r="E8" s="29">
        <f>I8+M8+Q8+U8+Y8</f>
        <v>5</v>
      </c>
      <c r="F8" s="40">
        <v>750</v>
      </c>
      <c r="G8" s="40">
        <f>K8+O8+S8+W8+AA8</f>
        <v>3750</v>
      </c>
      <c r="H8" s="197"/>
      <c r="I8" s="67">
        <v>5</v>
      </c>
      <c r="J8" s="32">
        <f t="shared" si="0"/>
        <v>750</v>
      </c>
      <c r="K8" s="32">
        <f t="shared" si="1"/>
        <v>3750</v>
      </c>
      <c r="M8" s="67">
        <v>0</v>
      </c>
      <c r="N8" s="32">
        <f t="shared" si="2"/>
        <v>750</v>
      </c>
      <c r="O8" s="32">
        <f t="shared" si="3"/>
        <v>0</v>
      </c>
      <c r="Q8" s="67">
        <v>0</v>
      </c>
      <c r="R8" s="32">
        <f t="shared" ref="R8:R11" si="8">$F8</f>
        <v>750</v>
      </c>
      <c r="S8" s="32">
        <f t="shared" ref="S8:S11" si="9">Q8*R8</f>
        <v>0</v>
      </c>
      <c r="U8" s="67">
        <v>0</v>
      </c>
      <c r="V8" s="32">
        <f t="shared" si="4"/>
        <v>750</v>
      </c>
      <c r="W8" s="32">
        <f t="shared" si="5"/>
        <v>0</v>
      </c>
      <c r="Y8" s="67">
        <v>0</v>
      </c>
      <c r="Z8" s="32">
        <f t="shared" si="6"/>
        <v>750</v>
      </c>
      <c r="AA8" s="32">
        <f t="shared" si="7"/>
        <v>0</v>
      </c>
    </row>
    <row r="9" spans="1:28">
      <c r="A9" s="320"/>
      <c r="B9" s="321"/>
      <c r="C9" s="192" t="s">
        <v>369</v>
      </c>
      <c r="D9" s="197" t="s">
        <v>11</v>
      </c>
      <c r="E9" s="29">
        <f>I9+M9+Q9+U9+Y9</f>
        <v>2090</v>
      </c>
      <c r="F9" s="40">
        <v>7.1</v>
      </c>
      <c r="G9" s="40">
        <f>K9+O9+S9+W9+AA9</f>
        <v>14839</v>
      </c>
      <c r="H9" s="197"/>
      <c r="I9" s="67">
        <v>730</v>
      </c>
      <c r="J9" s="32">
        <f t="shared" si="0"/>
        <v>7.1</v>
      </c>
      <c r="K9" s="32">
        <f t="shared" si="1"/>
        <v>5183</v>
      </c>
      <c r="M9" s="67">
        <v>760</v>
      </c>
      <c r="N9" s="32">
        <f t="shared" si="2"/>
        <v>7.1</v>
      </c>
      <c r="O9" s="32">
        <f t="shared" si="3"/>
        <v>5396</v>
      </c>
      <c r="Q9" s="67">
        <v>215</v>
      </c>
      <c r="R9" s="32">
        <f t="shared" si="8"/>
        <v>7.1</v>
      </c>
      <c r="S9" s="32">
        <f t="shared" si="9"/>
        <v>1526.5</v>
      </c>
      <c r="U9" s="67">
        <v>285</v>
      </c>
      <c r="V9" s="32">
        <f t="shared" si="4"/>
        <v>7.1</v>
      </c>
      <c r="W9" s="32">
        <f t="shared" si="5"/>
        <v>2023.5</v>
      </c>
      <c r="Y9" s="67">
        <v>100</v>
      </c>
      <c r="Z9" s="32">
        <f t="shared" si="6"/>
        <v>7.1</v>
      </c>
      <c r="AA9" s="32">
        <f t="shared" si="7"/>
        <v>710</v>
      </c>
    </row>
    <row r="10" spans="1:28">
      <c r="A10" s="14"/>
      <c r="B10" s="31"/>
      <c r="C10" s="28" t="s">
        <v>370</v>
      </c>
      <c r="D10" s="67" t="s">
        <v>6</v>
      </c>
      <c r="E10" s="29">
        <f>I10+M10+Q10+U10+Y10</f>
        <v>1</v>
      </c>
      <c r="F10" s="32">
        <v>2100</v>
      </c>
      <c r="G10" s="32">
        <f>K10+O10+S10+W10+AA10</f>
        <v>2100</v>
      </c>
      <c r="H10" s="67"/>
      <c r="I10" s="67">
        <v>0</v>
      </c>
      <c r="J10" s="32">
        <f t="shared" si="0"/>
        <v>2100</v>
      </c>
      <c r="K10" s="32">
        <f t="shared" si="1"/>
        <v>0</v>
      </c>
      <c r="M10" s="67">
        <v>0</v>
      </c>
      <c r="N10" s="32">
        <f t="shared" si="2"/>
        <v>2100</v>
      </c>
      <c r="O10" s="32">
        <f t="shared" si="3"/>
        <v>0</v>
      </c>
      <c r="Q10" s="67">
        <v>1</v>
      </c>
      <c r="R10" s="32">
        <f t="shared" si="8"/>
        <v>2100</v>
      </c>
      <c r="S10" s="32">
        <f t="shared" si="9"/>
        <v>2100</v>
      </c>
      <c r="U10" s="67">
        <v>0</v>
      </c>
      <c r="V10" s="32">
        <f t="shared" si="4"/>
        <v>2100</v>
      </c>
      <c r="W10" s="32">
        <f t="shared" si="5"/>
        <v>0</v>
      </c>
      <c r="Y10" s="67">
        <v>0</v>
      </c>
      <c r="Z10" s="32">
        <f t="shared" si="6"/>
        <v>2100</v>
      </c>
      <c r="AA10" s="32">
        <f t="shared" si="7"/>
        <v>0</v>
      </c>
    </row>
    <row r="11" spans="1:28">
      <c r="A11" s="14"/>
      <c r="B11" s="31"/>
      <c r="C11" s="28" t="s">
        <v>823</v>
      </c>
      <c r="D11" s="67" t="s">
        <v>6</v>
      </c>
      <c r="E11" s="29">
        <f>I11+M11+Q11+U11+Y11</f>
        <v>8</v>
      </c>
      <c r="F11" s="32">
        <v>685</v>
      </c>
      <c r="G11" s="32">
        <f>K11+O11+S11+W11+AA11</f>
        <v>5480</v>
      </c>
      <c r="H11" s="67"/>
      <c r="I11" s="67">
        <v>3</v>
      </c>
      <c r="J11" s="32">
        <f t="shared" si="0"/>
        <v>685</v>
      </c>
      <c r="K11" s="32">
        <f>I11*J11</f>
        <v>2055</v>
      </c>
      <c r="M11" s="67">
        <v>4</v>
      </c>
      <c r="N11" s="32">
        <f t="shared" si="2"/>
        <v>685</v>
      </c>
      <c r="O11" s="32">
        <f t="shared" si="3"/>
        <v>2740</v>
      </c>
      <c r="Q11" s="67">
        <v>1</v>
      </c>
      <c r="R11" s="32">
        <f t="shared" si="8"/>
        <v>685</v>
      </c>
      <c r="S11" s="32">
        <f t="shared" si="9"/>
        <v>685</v>
      </c>
      <c r="U11" s="67">
        <v>0</v>
      </c>
      <c r="V11" s="32">
        <f t="shared" si="4"/>
        <v>685</v>
      </c>
      <c r="W11" s="32">
        <f t="shared" si="5"/>
        <v>0</v>
      </c>
      <c r="Y11" s="67">
        <v>0</v>
      </c>
      <c r="Z11" s="32">
        <f t="shared" si="6"/>
        <v>685</v>
      </c>
      <c r="AA11" s="32">
        <f t="shared" si="7"/>
        <v>0</v>
      </c>
      <c r="AB11" s="22"/>
    </row>
    <row r="12" spans="1:28">
      <c r="A12" s="14"/>
      <c r="B12" s="31"/>
      <c r="C12" s="28"/>
      <c r="D12" s="67"/>
      <c r="E12" s="67"/>
      <c r="F12" s="32"/>
      <c r="G12" s="32"/>
      <c r="H12" s="67"/>
      <c r="I12" s="67"/>
      <c r="J12" s="32"/>
      <c r="K12" s="32"/>
      <c r="M12" s="67"/>
      <c r="N12" s="32"/>
      <c r="O12" s="32"/>
      <c r="Q12" s="67"/>
      <c r="R12" s="32"/>
      <c r="S12" s="32"/>
      <c r="U12" s="67"/>
      <c r="V12" s="32"/>
      <c r="W12" s="32"/>
      <c r="Y12" s="67"/>
      <c r="Z12" s="32"/>
      <c r="AA12" s="32"/>
    </row>
    <row r="13" spans="1:28">
      <c r="A13" s="35"/>
      <c r="B13" s="27"/>
      <c r="C13" s="38" t="s">
        <v>22</v>
      </c>
      <c r="D13" s="68"/>
      <c r="E13" s="369"/>
      <c r="F13" s="33" t="s">
        <v>10</v>
      </c>
      <c r="G13" s="34">
        <f>K13+O13+S13+W13+AA13</f>
        <v>27969</v>
      </c>
      <c r="H13" s="68"/>
      <c r="I13" s="369"/>
      <c r="J13" s="33" t="s">
        <v>10</v>
      </c>
      <c r="K13" s="34">
        <f>SUM(K6:K12)</f>
        <v>11438</v>
      </c>
      <c r="M13" s="369"/>
      <c r="N13" s="33" t="s">
        <v>10</v>
      </c>
      <c r="O13" s="34">
        <f>SUM(O6:O12)</f>
        <v>8586</v>
      </c>
      <c r="Q13" s="369"/>
      <c r="R13" s="33" t="s">
        <v>10</v>
      </c>
      <c r="S13" s="34">
        <f>SUM(S6:S12)</f>
        <v>4761.5</v>
      </c>
      <c r="U13" s="369"/>
      <c r="V13" s="33" t="s">
        <v>10</v>
      </c>
      <c r="W13" s="34">
        <f>SUM(W6:W12)</f>
        <v>2473.5</v>
      </c>
      <c r="Y13" s="369"/>
      <c r="Z13" s="33" t="s">
        <v>10</v>
      </c>
      <c r="AA13" s="34">
        <f>SUM(AA6:AA12)</f>
        <v>710</v>
      </c>
    </row>
    <row r="14" spans="1:28">
      <c r="A14" s="35"/>
      <c r="B14" s="27"/>
      <c r="C14" s="36"/>
      <c r="D14" s="68"/>
      <c r="E14" s="369"/>
      <c r="F14" s="33"/>
      <c r="G14" s="34"/>
      <c r="H14" s="68"/>
      <c r="I14" s="369"/>
      <c r="J14" s="33"/>
      <c r="K14" s="34"/>
      <c r="M14" s="369"/>
      <c r="N14" s="33"/>
      <c r="O14" s="34"/>
      <c r="Q14" s="369"/>
      <c r="R14" s="33"/>
      <c r="S14" s="34"/>
      <c r="U14" s="369"/>
      <c r="V14" s="33"/>
      <c r="W14" s="34"/>
      <c r="Y14" s="369"/>
      <c r="Z14" s="33"/>
      <c r="AA14" s="34"/>
    </row>
    <row r="15" spans="1:28">
      <c r="A15" s="14"/>
      <c r="B15" s="31"/>
      <c r="C15" s="28"/>
      <c r="D15" s="67"/>
      <c r="E15" s="67"/>
      <c r="F15" s="33"/>
      <c r="G15" s="34"/>
      <c r="H15" s="67"/>
      <c r="I15" s="67"/>
      <c r="J15" s="33"/>
      <c r="K15" s="34"/>
      <c r="M15" s="67"/>
      <c r="N15" s="33"/>
      <c r="O15" s="34"/>
      <c r="Q15" s="67"/>
      <c r="R15" s="33"/>
      <c r="S15" s="34"/>
      <c r="U15" s="67"/>
      <c r="V15" s="33"/>
      <c r="W15" s="34"/>
      <c r="Y15" s="67"/>
      <c r="Z15" s="33"/>
      <c r="AA15" s="34"/>
    </row>
    <row r="16" spans="1:28">
      <c r="A16" s="61"/>
      <c r="B16" s="62" t="s">
        <v>20</v>
      </c>
      <c r="C16" s="63" t="s">
        <v>371</v>
      </c>
      <c r="D16" s="64"/>
      <c r="E16" s="366"/>
      <c r="F16" s="66"/>
      <c r="G16" s="66"/>
      <c r="H16" s="64"/>
      <c r="I16" s="366"/>
      <c r="J16" s="66"/>
      <c r="K16" s="66"/>
      <c r="L16" s="26"/>
      <c r="M16" s="366"/>
      <c r="N16" s="66"/>
      <c r="O16" s="66"/>
      <c r="P16" s="26"/>
      <c r="Q16" s="366"/>
      <c r="R16" s="66"/>
      <c r="S16" s="66"/>
      <c r="T16" s="26"/>
      <c r="U16" s="366"/>
      <c r="V16" s="66"/>
      <c r="W16" s="66"/>
      <c r="X16" s="26"/>
      <c r="Y16" s="366"/>
      <c r="Z16" s="66"/>
      <c r="AA16" s="66"/>
    </row>
    <row r="17" spans="1:31">
      <c r="A17" s="320"/>
      <c r="B17" s="321"/>
      <c r="C17" s="192" t="s">
        <v>372</v>
      </c>
      <c r="D17" s="197" t="s">
        <v>376</v>
      </c>
      <c r="E17" s="29">
        <f t="shared" ref="E17:E23" si="10">I17+M17+Q17+U17+Y17</f>
        <v>1166</v>
      </c>
      <c r="F17" s="32">
        <v>11.2</v>
      </c>
      <c r="G17" s="40">
        <f t="shared" ref="G17:G23" si="11">K17+O17+S17+W17+AA17</f>
        <v>13059.199999999999</v>
      </c>
      <c r="H17" s="197"/>
      <c r="I17" s="67">
        <v>447</v>
      </c>
      <c r="J17" s="32">
        <f t="shared" ref="J17:J23" si="12">$F17</f>
        <v>11.2</v>
      </c>
      <c r="K17" s="32">
        <f t="shared" ref="K17:K23" si="13">I17*J17</f>
        <v>5006.3999999999996</v>
      </c>
      <c r="M17" s="67">
        <v>230</v>
      </c>
      <c r="N17" s="32">
        <f t="shared" ref="N17:N23" si="14">$F17</f>
        <v>11.2</v>
      </c>
      <c r="O17" s="32">
        <f t="shared" ref="O17:O23" si="15">M17*N17</f>
        <v>2576</v>
      </c>
      <c r="Q17" s="67">
        <v>325</v>
      </c>
      <c r="R17" s="32">
        <f t="shared" ref="R17:R23" si="16">$F17</f>
        <v>11.2</v>
      </c>
      <c r="S17" s="32">
        <f t="shared" ref="S17:S23" si="17">Q17*R17</f>
        <v>3639.9999999999995</v>
      </c>
      <c r="U17" s="67">
        <v>164</v>
      </c>
      <c r="V17" s="32">
        <f t="shared" ref="V17:V23" si="18">$F17</f>
        <v>11.2</v>
      </c>
      <c r="W17" s="32">
        <f t="shared" ref="W17:W23" si="19">U17*V17</f>
        <v>1836.8</v>
      </c>
      <c r="Y17" s="67">
        <v>0</v>
      </c>
      <c r="Z17" s="32">
        <f t="shared" ref="Z17:Z23" si="20">$F17</f>
        <v>11.2</v>
      </c>
      <c r="AA17" s="32">
        <f t="shared" ref="AA17:AA23" si="21">Y17*Z17</f>
        <v>0</v>
      </c>
    </row>
    <row r="18" spans="1:31">
      <c r="A18" s="320"/>
      <c r="B18" s="321"/>
      <c r="C18" s="192" t="s">
        <v>373</v>
      </c>
      <c r="D18" s="197" t="s">
        <v>11</v>
      </c>
      <c r="E18" s="29">
        <f t="shared" si="10"/>
        <v>467</v>
      </c>
      <c r="F18" s="32">
        <v>34.799999999999997</v>
      </c>
      <c r="G18" s="40">
        <f t="shared" si="11"/>
        <v>16251.599999999999</v>
      </c>
      <c r="H18" s="197"/>
      <c r="I18" s="67">
        <v>161</v>
      </c>
      <c r="J18" s="32">
        <f t="shared" si="12"/>
        <v>34.799999999999997</v>
      </c>
      <c r="K18" s="32">
        <f t="shared" si="13"/>
        <v>5602.7999999999993</v>
      </c>
      <c r="M18" s="67">
        <v>0</v>
      </c>
      <c r="N18" s="32">
        <f t="shared" si="14"/>
        <v>34.799999999999997</v>
      </c>
      <c r="O18" s="32">
        <f t="shared" si="15"/>
        <v>0</v>
      </c>
      <c r="Q18" s="67">
        <v>116</v>
      </c>
      <c r="R18" s="32">
        <f t="shared" si="16"/>
        <v>34.799999999999997</v>
      </c>
      <c r="S18" s="32">
        <f t="shared" si="17"/>
        <v>4036.7999999999997</v>
      </c>
      <c r="U18" s="67">
        <v>190</v>
      </c>
      <c r="V18" s="32">
        <f t="shared" si="18"/>
        <v>34.799999999999997</v>
      </c>
      <c r="W18" s="32">
        <f t="shared" si="19"/>
        <v>6611.9999999999991</v>
      </c>
      <c r="Y18" s="67">
        <v>0</v>
      </c>
      <c r="Z18" s="32">
        <f t="shared" si="20"/>
        <v>34.799999999999997</v>
      </c>
      <c r="AA18" s="32">
        <f t="shared" si="21"/>
        <v>0</v>
      </c>
      <c r="AB18" s="322"/>
    </row>
    <row r="19" spans="1:31">
      <c r="A19" s="320"/>
      <c r="B19" s="321"/>
      <c r="C19" s="192" t="s">
        <v>374</v>
      </c>
      <c r="D19" s="197" t="s">
        <v>376</v>
      </c>
      <c r="E19" s="29">
        <f t="shared" si="10"/>
        <v>880</v>
      </c>
      <c r="F19" s="32">
        <v>15.3</v>
      </c>
      <c r="G19" s="40">
        <f t="shared" si="11"/>
        <v>13464</v>
      </c>
      <c r="H19" s="197"/>
      <c r="I19" s="67">
        <v>328</v>
      </c>
      <c r="J19" s="32">
        <f t="shared" si="12"/>
        <v>15.3</v>
      </c>
      <c r="K19" s="32">
        <f t="shared" si="13"/>
        <v>5018.4000000000005</v>
      </c>
      <c r="M19" s="67">
        <v>183</v>
      </c>
      <c r="N19" s="32">
        <f t="shared" si="14"/>
        <v>15.3</v>
      </c>
      <c r="O19" s="32">
        <f t="shared" si="15"/>
        <v>2799.9</v>
      </c>
      <c r="Q19" s="67">
        <v>268</v>
      </c>
      <c r="R19" s="32">
        <f t="shared" si="16"/>
        <v>15.3</v>
      </c>
      <c r="S19" s="32">
        <f t="shared" si="17"/>
        <v>4100.4000000000005</v>
      </c>
      <c r="U19" s="67">
        <v>101</v>
      </c>
      <c r="V19" s="32">
        <f t="shared" si="18"/>
        <v>15.3</v>
      </c>
      <c r="W19" s="32">
        <f t="shared" si="19"/>
        <v>1545.3000000000002</v>
      </c>
      <c r="Y19" s="67">
        <v>0</v>
      </c>
      <c r="Z19" s="32">
        <f t="shared" si="20"/>
        <v>15.3</v>
      </c>
      <c r="AA19" s="32">
        <f t="shared" si="21"/>
        <v>0</v>
      </c>
      <c r="AB19" s="322"/>
    </row>
    <row r="20" spans="1:31">
      <c r="A20" s="320"/>
      <c r="B20" s="321"/>
      <c r="C20" s="192" t="s">
        <v>811</v>
      </c>
      <c r="D20" s="197" t="s">
        <v>376</v>
      </c>
      <c r="E20" s="29">
        <f t="shared" si="10"/>
        <v>534</v>
      </c>
      <c r="F20" s="32">
        <v>15.3</v>
      </c>
      <c r="G20" s="40">
        <f t="shared" si="11"/>
        <v>8170.2000000000007</v>
      </c>
      <c r="H20" s="197"/>
      <c r="I20" s="67">
        <v>226</v>
      </c>
      <c r="J20" s="32">
        <f t="shared" si="12"/>
        <v>15.3</v>
      </c>
      <c r="K20" s="32">
        <f t="shared" si="13"/>
        <v>3457.8</v>
      </c>
      <c r="M20" s="67">
        <v>62</v>
      </c>
      <c r="N20" s="32">
        <f t="shared" si="14"/>
        <v>15.3</v>
      </c>
      <c r="O20" s="32">
        <f t="shared" si="15"/>
        <v>948.6</v>
      </c>
      <c r="Q20" s="67">
        <v>192</v>
      </c>
      <c r="R20" s="32">
        <f t="shared" si="16"/>
        <v>15.3</v>
      </c>
      <c r="S20" s="32">
        <f t="shared" si="17"/>
        <v>2937.6000000000004</v>
      </c>
      <c r="U20" s="67">
        <v>54</v>
      </c>
      <c r="V20" s="32">
        <f t="shared" si="18"/>
        <v>15.3</v>
      </c>
      <c r="W20" s="32">
        <f t="shared" si="19"/>
        <v>826.2</v>
      </c>
      <c r="Y20" s="67">
        <v>0</v>
      </c>
      <c r="Z20" s="32">
        <f t="shared" si="20"/>
        <v>15.3</v>
      </c>
      <c r="AA20" s="32">
        <f t="shared" si="21"/>
        <v>0</v>
      </c>
      <c r="AB20" s="322"/>
    </row>
    <row r="21" spans="1:31">
      <c r="A21" s="14"/>
      <c r="B21" s="31"/>
      <c r="C21" s="192" t="s">
        <v>485</v>
      </c>
      <c r="D21" s="67" t="s">
        <v>11</v>
      </c>
      <c r="E21" s="29">
        <f t="shared" si="10"/>
        <v>372</v>
      </c>
      <c r="F21" s="32">
        <v>36</v>
      </c>
      <c r="G21" s="32">
        <f t="shared" si="11"/>
        <v>13392</v>
      </c>
      <c r="H21" s="67"/>
      <c r="I21" s="67">
        <v>104</v>
      </c>
      <c r="J21" s="32">
        <f t="shared" si="12"/>
        <v>36</v>
      </c>
      <c r="K21" s="32">
        <f t="shared" si="13"/>
        <v>3744</v>
      </c>
      <c r="M21" s="67">
        <v>108</v>
      </c>
      <c r="N21" s="32">
        <f t="shared" si="14"/>
        <v>36</v>
      </c>
      <c r="O21" s="32">
        <f t="shared" si="15"/>
        <v>3888</v>
      </c>
      <c r="Q21" s="67">
        <v>58</v>
      </c>
      <c r="R21" s="32">
        <f t="shared" si="16"/>
        <v>36</v>
      </c>
      <c r="S21" s="32">
        <f t="shared" si="17"/>
        <v>2088</v>
      </c>
      <c r="U21" s="67">
        <v>102</v>
      </c>
      <c r="V21" s="32">
        <f t="shared" si="18"/>
        <v>36</v>
      </c>
      <c r="W21" s="32">
        <f t="shared" si="19"/>
        <v>3672</v>
      </c>
      <c r="Y21" s="67">
        <v>0</v>
      </c>
      <c r="Z21" s="32">
        <f t="shared" si="20"/>
        <v>36</v>
      </c>
      <c r="AA21" s="32">
        <f t="shared" si="21"/>
        <v>0</v>
      </c>
      <c r="AB21" s="22"/>
    </row>
    <row r="22" spans="1:31">
      <c r="A22" s="14"/>
      <c r="B22" s="31"/>
      <c r="C22" s="192" t="s">
        <v>512</v>
      </c>
      <c r="D22" s="67" t="s">
        <v>11</v>
      </c>
      <c r="E22" s="29">
        <f t="shared" si="10"/>
        <v>372</v>
      </c>
      <c r="F22" s="32">
        <v>20</v>
      </c>
      <c r="G22" s="32">
        <f t="shared" si="11"/>
        <v>7440</v>
      </c>
      <c r="H22" s="67"/>
      <c r="I22" s="67">
        <v>104</v>
      </c>
      <c r="J22" s="32">
        <f t="shared" si="12"/>
        <v>20</v>
      </c>
      <c r="K22" s="32">
        <f t="shared" si="13"/>
        <v>2080</v>
      </c>
      <c r="M22" s="67">
        <v>108</v>
      </c>
      <c r="N22" s="32">
        <f t="shared" si="14"/>
        <v>20</v>
      </c>
      <c r="O22" s="32">
        <f t="shared" si="15"/>
        <v>2160</v>
      </c>
      <c r="Q22" s="67">
        <v>58</v>
      </c>
      <c r="R22" s="32">
        <f t="shared" si="16"/>
        <v>20</v>
      </c>
      <c r="S22" s="32">
        <f t="shared" si="17"/>
        <v>1160</v>
      </c>
      <c r="U22" s="67">
        <v>102</v>
      </c>
      <c r="V22" s="32">
        <f t="shared" si="18"/>
        <v>20</v>
      </c>
      <c r="W22" s="32">
        <f t="shared" si="19"/>
        <v>2040</v>
      </c>
      <c r="Y22" s="67">
        <v>0</v>
      </c>
      <c r="Z22" s="32">
        <f t="shared" si="20"/>
        <v>20</v>
      </c>
      <c r="AA22" s="32">
        <f t="shared" si="21"/>
        <v>0</v>
      </c>
      <c r="AB22" s="22"/>
    </row>
    <row r="23" spans="1:31">
      <c r="A23" s="14"/>
      <c r="B23" s="31"/>
      <c r="C23" s="192" t="s">
        <v>375</v>
      </c>
      <c r="D23" s="67" t="s">
        <v>376</v>
      </c>
      <c r="E23" s="29">
        <f t="shared" si="10"/>
        <v>467</v>
      </c>
      <c r="F23" s="32">
        <v>37.4</v>
      </c>
      <c r="G23" s="32">
        <f t="shared" si="11"/>
        <v>17465.8</v>
      </c>
      <c r="H23" s="67"/>
      <c r="I23" s="67">
        <v>161</v>
      </c>
      <c r="J23" s="32">
        <f t="shared" si="12"/>
        <v>37.4</v>
      </c>
      <c r="K23" s="32">
        <f t="shared" si="13"/>
        <v>6021.4</v>
      </c>
      <c r="M23" s="67">
        <v>0</v>
      </c>
      <c r="N23" s="32">
        <f t="shared" si="14"/>
        <v>37.4</v>
      </c>
      <c r="O23" s="32">
        <f t="shared" si="15"/>
        <v>0</v>
      </c>
      <c r="Q23" s="67">
        <v>116</v>
      </c>
      <c r="R23" s="32">
        <f t="shared" si="16"/>
        <v>37.4</v>
      </c>
      <c r="S23" s="32">
        <f t="shared" si="17"/>
        <v>4338.3999999999996</v>
      </c>
      <c r="U23" s="67">
        <v>190</v>
      </c>
      <c r="V23" s="32">
        <f t="shared" si="18"/>
        <v>37.4</v>
      </c>
      <c r="W23" s="32">
        <f t="shared" si="19"/>
        <v>7106</v>
      </c>
      <c r="Y23" s="67">
        <v>0</v>
      </c>
      <c r="Z23" s="32">
        <f t="shared" si="20"/>
        <v>37.4</v>
      </c>
      <c r="AA23" s="32">
        <f t="shared" si="21"/>
        <v>0</v>
      </c>
      <c r="AB23" s="22"/>
    </row>
    <row r="24" spans="1:31">
      <c r="A24" s="14"/>
      <c r="B24" s="31"/>
      <c r="C24" s="28"/>
      <c r="D24" s="67"/>
      <c r="E24" s="67"/>
      <c r="F24" s="32"/>
      <c r="G24" s="32"/>
      <c r="H24" s="67"/>
      <c r="I24" s="67"/>
      <c r="J24" s="32"/>
      <c r="K24" s="32"/>
      <c r="M24" s="67"/>
      <c r="N24" s="32"/>
      <c r="O24" s="32"/>
      <c r="Q24" s="67"/>
      <c r="R24" s="32"/>
      <c r="S24" s="32"/>
      <c r="U24" s="67"/>
      <c r="V24" s="32"/>
      <c r="W24" s="32"/>
      <c r="Y24" s="67"/>
      <c r="Z24" s="32"/>
      <c r="AA24" s="32"/>
    </row>
    <row r="25" spans="1:31">
      <c r="A25" s="35"/>
      <c r="B25" s="27"/>
      <c r="C25" s="38" t="s">
        <v>377</v>
      </c>
      <c r="D25" s="68"/>
      <c r="E25" s="369"/>
      <c r="F25" s="33" t="s">
        <v>10</v>
      </c>
      <c r="G25" s="34">
        <f>K25+O25+S25+W25+AA25</f>
        <v>89242.8</v>
      </c>
      <c r="H25" s="68"/>
      <c r="I25" s="369"/>
      <c r="J25" s="33" t="s">
        <v>10</v>
      </c>
      <c r="K25" s="34">
        <f>SUM(K16:K24)</f>
        <v>30930.799999999996</v>
      </c>
      <c r="M25" s="369"/>
      <c r="N25" s="33" t="s">
        <v>10</v>
      </c>
      <c r="O25" s="34">
        <f>SUM(O16:O24)</f>
        <v>12372.5</v>
      </c>
      <c r="Q25" s="369"/>
      <c r="R25" s="33" t="s">
        <v>10</v>
      </c>
      <c r="S25" s="34">
        <f>SUM(S16:S24)</f>
        <v>22301.200000000004</v>
      </c>
      <c r="U25" s="369"/>
      <c r="V25" s="33" t="s">
        <v>10</v>
      </c>
      <c r="W25" s="34">
        <f>SUM(W16:W24)</f>
        <v>23638.3</v>
      </c>
      <c r="Y25" s="369"/>
      <c r="Z25" s="33" t="s">
        <v>10</v>
      </c>
      <c r="AA25" s="34">
        <f>SUM(AA16:AA24)</f>
        <v>0</v>
      </c>
    </row>
    <row r="26" spans="1:31">
      <c r="A26" s="35"/>
      <c r="B26" s="27"/>
      <c r="C26" s="36"/>
      <c r="D26" s="68"/>
      <c r="E26" s="369"/>
      <c r="F26" s="33"/>
      <c r="G26" s="34"/>
      <c r="H26" s="68"/>
      <c r="I26" s="369"/>
      <c r="J26" s="33"/>
      <c r="K26" s="34"/>
      <c r="M26" s="369"/>
      <c r="N26" s="33"/>
      <c r="O26" s="34"/>
      <c r="Q26" s="369"/>
      <c r="R26" s="33"/>
      <c r="S26" s="34"/>
      <c r="U26" s="369"/>
      <c r="V26" s="33"/>
      <c r="W26" s="34"/>
      <c r="Y26" s="369"/>
      <c r="Z26" s="33"/>
      <c r="AA26" s="34"/>
    </row>
    <row r="27" spans="1:31">
      <c r="A27" s="14"/>
      <c r="B27" s="31"/>
      <c r="C27" s="28"/>
      <c r="D27" s="67"/>
      <c r="E27" s="67"/>
      <c r="F27" s="33"/>
      <c r="G27" s="34"/>
      <c r="H27" s="67"/>
      <c r="I27" s="67"/>
      <c r="J27" s="33"/>
      <c r="K27" s="34"/>
      <c r="M27" s="67"/>
      <c r="N27" s="33"/>
      <c r="O27" s="34"/>
      <c r="Q27" s="67"/>
      <c r="R27" s="33"/>
      <c r="S27" s="34"/>
      <c r="U27" s="67"/>
      <c r="V27" s="33"/>
      <c r="W27" s="34"/>
      <c r="Y27" s="67"/>
      <c r="Z27" s="33"/>
      <c r="AA27" s="34"/>
    </row>
    <row r="28" spans="1:31">
      <c r="A28" s="61"/>
      <c r="B28" s="62" t="s">
        <v>21</v>
      </c>
      <c r="C28" s="63" t="s">
        <v>379</v>
      </c>
      <c r="D28" s="64"/>
      <c r="E28" s="366"/>
      <c r="F28" s="66"/>
      <c r="G28" s="66"/>
      <c r="H28" s="64"/>
      <c r="I28" s="366"/>
      <c r="J28" s="66"/>
      <c r="K28" s="66"/>
      <c r="L28" s="26"/>
      <c r="M28" s="366"/>
      <c r="N28" s="66"/>
      <c r="O28" s="66"/>
      <c r="P28" s="26"/>
      <c r="Q28" s="366"/>
      <c r="R28" s="66"/>
      <c r="S28" s="66"/>
      <c r="T28" s="26"/>
      <c r="U28" s="366"/>
      <c r="V28" s="66"/>
      <c r="W28" s="66"/>
      <c r="X28" s="26"/>
      <c r="Y28" s="366"/>
      <c r="Z28" s="66"/>
      <c r="AA28" s="66"/>
    </row>
    <row r="29" spans="1:31">
      <c r="A29" s="14"/>
      <c r="B29" s="31"/>
      <c r="C29" s="192" t="s">
        <v>381</v>
      </c>
      <c r="D29" s="67" t="s">
        <v>6</v>
      </c>
      <c r="E29" s="29">
        <f t="shared" ref="E29:E42" si="22">I29+M29+Q29+U29+Y29</f>
        <v>4</v>
      </c>
      <c r="F29" s="32">
        <v>200</v>
      </c>
      <c r="G29" s="32">
        <f t="shared" ref="G29:G42" si="23">K29+O29+S29+W29+AA29</f>
        <v>800</v>
      </c>
      <c r="H29" s="67"/>
      <c r="I29" s="67">
        <v>1</v>
      </c>
      <c r="J29" s="32">
        <f t="shared" ref="J29:J42" si="24">$F29</f>
        <v>200</v>
      </c>
      <c r="K29" s="32">
        <f t="shared" ref="K29:K42" si="25">I29*J29</f>
        <v>200</v>
      </c>
      <c r="M29" s="67">
        <v>1</v>
      </c>
      <c r="N29" s="32">
        <f t="shared" ref="N29:N42" si="26">$F29</f>
        <v>200</v>
      </c>
      <c r="O29" s="32">
        <f t="shared" ref="O29:O42" si="27">M29*N29</f>
        <v>200</v>
      </c>
      <c r="Q29" s="67">
        <v>1</v>
      </c>
      <c r="R29" s="32">
        <f t="shared" ref="R29:R42" si="28">$F29</f>
        <v>200</v>
      </c>
      <c r="S29" s="32">
        <f t="shared" ref="S29:S42" si="29">Q29*R29</f>
        <v>200</v>
      </c>
      <c r="U29" s="67">
        <v>1</v>
      </c>
      <c r="V29" s="32">
        <f t="shared" ref="V29:V42" si="30">$F29</f>
        <v>200</v>
      </c>
      <c r="W29" s="32">
        <f t="shared" ref="W29:W42" si="31">U29*V29</f>
        <v>200</v>
      </c>
      <c r="Y29" s="67"/>
      <c r="Z29" s="32">
        <f t="shared" ref="Z29:Z42" si="32">$F29</f>
        <v>200</v>
      </c>
      <c r="AA29" s="32">
        <f t="shared" ref="AA29:AA42" si="33">Y29*Z29</f>
        <v>0</v>
      </c>
      <c r="AC29" s="22"/>
      <c r="AD29" s="22"/>
      <c r="AE29" s="22"/>
    </row>
    <row r="30" spans="1:31">
      <c r="A30" s="320"/>
      <c r="B30" s="321"/>
      <c r="C30" s="192" t="s">
        <v>382</v>
      </c>
      <c r="D30" s="197" t="s">
        <v>70</v>
      </c>
      <c r="E30" s="29">
        <f t="shared" si="22"/>
        <v>270</v>
      </c>
      <c r="F30" s="40">
        <v>15.8</v>
      </c>
      <c r="G30" s="40">
        <f t="shared" si="23"/>
        <v>4266</v>
      </c>
      <c r="H30" s="197"/>
      <c r="I30" s="67">
        <v>70</v>
      </c>
      <c r="J30" s="32">
        <f t="shared" si="24"/>
        <v>15.8</v>
      </c>
      <c r="K30" s="32">
        <f t="shared" si="25"/>
        <v>1106</v>
      </c>
      <c r="M30" s="67"/>
      <c r="N30" s="32">
        <f t="shared" si="26"/>
        <v>15.8</v>
      </c>
      <c r="O30" s="32">
        <f t="shared" si="27"/>
        <v>0</v>
      </c>
      <c r="Q30" s="67">
        <v>70</v>
      </c>
      <c r="R30" s="32">
        <f t="shared" si="28"/>
        <v>15.8</v>
      </c>
      <c r="S30" s="32">
        <f t="shared" si="29"/>
        <v>1106</v>
      </c>
      <c r="U30" s="67">
        <v>130</v>
      </c>
      <c r="V30" s="32">
        <f t="shared" si="30"/>
        <v>15.8</v>
      </c>
      <c r="W30" s="32">
        <f t="shared" si="31"/>
        <v>2054</v>
      </c>
      <c r="Y30" s="67"/>
      <c r="Z30" s="32">
        <f t="shared" si="32"/>
        <v>15.8</v>
      </c>
      <c r="AA30" s="32">
        <f t="shared" si="33"/>
        <v>0</v>
      </c>
      <c r="AC30" s="322"/>
      <c r="AD30" s="322"/>
      <c r="AE30" s="322"/>
    </row>
    <row r="31" spans="1:31">
      <c r="A31" s="320"/>
      <c r="B31" s="321"/>
      <c r="C31" s="192" t="s">
        <v>383</v>
      </c>
      <c r="D31" s="197" t="s">
        <v>70</v>
      </c>
      <c r="E31" s="29">
        <f t="shared" si="22"/>
        <v>61</v>
      </c>
      <c r="F31" s="40">
        <v>29.3</v>
      </c>
      <c r="G31" s="40">
        <f t="shared" si="23"/>
        <v>1787.3</v>
      </c>
      <c r="H31" s="197"/>
      <c r="I31" s="67">
        <v>11</v>
      </c>
      <c r="J31" s="32">
        <f t="shared" si="24"/>
        <v>29.3</v>
      </c>
      <c r="K31" s="32">
        <f t="shared" si="25"/>
        <v>322.3</v>
      </c>
      <c r="M31" s="67"/>
      <c r="N31" s="32">
        <f t="shared" si="26"/>
        <v>29.3</v>
      </c>
      <c r="O31" s="32">
        <f t="shared" si="27"/>
        <v>0</v>
      </c>
      <c r="Q31" s="67"/>
      <c r="R31" s="32">
        <f t="shared" si="28"/>
        <v>29.3</v>
      </c>
      <c r="S31" s="32">
        <f t="shared" si="29"/>
        <v>0</v>
      </c>
      <c r="U31" s="67">
        <v>50</v>
      </c>
      <c r="V31" s="32">
        <f t="shared" si="30"/>
        <v>29.3</v>
      </c>
      <c r="W31" s="32">
        <f t="shared" si="31"/>
        <v>1465</v>
      </c>
      <c r="Y31" s="67"/>
      <c r="Z31" s="32">
        <f t="shared" si="32"/>
        <v>29.3</v>
      </c>
      <c r="AA31" s="32">
        <f t="shared" si="33"/>
        <v>0</v>
      </c>
      <c r="AC31" s="322"/>
      <c r="AD31" s="322"/>
      <c r="AE31" s="322"/>
    </row>
    <row r="32" spans="1:31">
      <c r="A32" s="320"/>
      <c r="B32" s="321"/>
      <c r="C32" s="192" t="s">
        <v>651</v>
      </c>
      <c r="D32" s="197" t="s">
        <v>69</v>
      </c>
      <c r="E32" s="29">
        <f t="shared" si="22"/>
        <v>1</v>
      </c>
      <c r="F32" s="40">
        <v>850</v>
      </c>
      <c r="G32" s="40">
        <f t="shared" si="23"/>
        <v>850</v>
      </c>
      <c r="H32" s="197"/>
      <c r="I32" s="67">
        <v>1</v>
      </c>
      <c r="J32" s="32">
        <f t="shared" si="24"/>
        <v>850</v>
      </c>
      <c r="K32" s="32">
        <f t="shared" si="25"/>
        <v>850</v>
      </c>
      <c r="M32" s="67"/>
      <c r="N32" s="32">
        <f t="shared" si="26"/>
        <v>850</v>
      </c>
      <c r="O32" s="32">
        <f t="shared" si="27"/>
        <v>0</v>
      </c>
      <c r="Q32" s="67"/>
      <c r="R32" s="32">
        <f t="shared" si="28"/>
        <v>850</v>
      </c>
      <c r="S32" s="32">
        <f t="shared" si="29"/>
        <v>0</v>
      </c>
      <c r="U32" s="67"/>
      <c r="V32" s="32">
        <f t="shared" si="30"/>
        <v>850</v>
      </c>
      <c r="W32" s="32">
        <f t="shared" si="31"/>
        <v>0</v>
      </c>
      <c r="Y32" s="67"/>
      <c r="Z32" s="32">
        <f t="shared" si="32"/>
        <v>850</v>
      </c>
      <c r="AA32" s="32">
        <f t="shared" si="33"/>
        <v>0</v>
      </c>
      <c r="AC32" s="322"/>
      <c r="AD32" s="322"/>
      <c r="AE32" s="322"/>
    </row>
    <row r="33" spans="1:31">
      <c r="A33" s="320"/>
      <c r="B33" s="321"/>
      <c r="C33" s="192" t="s">
        <v>650</v>
      </c>
      <c r="D33" s="197" t="s">
        <v>70</v>
      </c>
      <c r="E33" s="29">
        <f t="shared" si="22"/>
        <v>200</v>
      </c>
      <c r="F33" s="40">
        <v>48</v>
      </c>
      <c r="G33" s="40">
        <f t="shared" si="23"/>
        <v>9600</v>
      </c>
      <c r="H33" s="197"/>
      <c r="I33" s="67">
        <v>0</v>
      </c>
      <c r="J33" s="32">
        <f t="shared" si="24"/>
        <v>48</v>
      </c>
      <c r="K33" s="32">
        <f t="shared" si="25"/>
        <v>0</v>
      </c>
      <c r="M33" s="67"/>
      <c r="N33" s="32">
        <f t="shared" si="26"/>
        <v>48</v>
      </c>
      <c r="O33" s="32">
        <f t="shared" si="27"/>
        <v>0</v>
      </c>
      <c r="Q33" s="67"/>
      <c r="R33" s="32">
        <f t="shared" si="28"/>
        <v>48</v>
      </c>
      <c r="S33" s="32">
        <f t="shared" si="29"/>
        <v>0</v>
      </c>
      <c r="U33" s="67">
        <v>200</v>
      </c>
      <c r="V33" s="32">
        <f t="shared" si="30"/>
        <v>48</v>
      </c>
      <c r="W33" s="32">
        <f t="shared" si="31"/>
        <v>9600</v>
      </c>
      <c r="Y33" s="67"/>
      <c r="Z33" s="32">
        <f t="shared" si="32"/>
        <v>48</v>
      </c>
      <c r="AA33" s="32">
        <f t="shared" si="33"/>
        <v>0</v>
      </c>
      <c r="AC33" s="322"/>
      <c r="AD33" s="322"/>
      <c r="AE33" s="322"/>
    </row>
    <row r="34" spans="1:31">
      <c r="A34" s="320"/>
      <c r="B34" s="321"/>
      <c r="C34" s="192" t="s">
        <v>608</v>
      </c>
      <c r="D34" s="197" t="s">
        <v>6</v>
      </c>
      <c r="E34" s="29">
        <f t="shared" si="22"/>
        <v>6</v>
      </c>
      <c r="F34" s="40">
        <v>350</v>
      </c>
      <c r="G34" s="40">
        <f t="shared" si="23"/>
        <v>2100</v>
      </c>
      <c r="H34" s="197"/>
      <c r="I34" s="67">
        <v>1</v>
      </c>
      <c r="J34" s="32">
        <f t="shared" si="24"/>
        <v>350</v>
      </c>
      <c r="K34" s="32">
        <f t="shared" si="25"/>
        <v>350</v>
      </c>
      <c r="M34" s="67"/>
      <c r="N34" s="32">
        <f t="shared" si="26"/>
        <v>350</v>
      </c>
      <c r="O34" s="32">
        <f t="shared" si="27"/>
        <v>0</v>
      </c>
      <c r="Q34" s="67"/>
      <c r="R34" s="32">
        <f t="shared" si="28"/>
        <v>350</v>
      </c>
      <c r="S34" s="32">
        <f t="shared" si="29"/>
        <v>0</v>
      </c>
      <c r="U34" s="67">
        <v>5</v>
      </c>
      <c r="V34" s="32">
        <f t="shared" si="30"/>
        <v>350</v>
      </c>
      <c r="W34" s="32">
        <f t="shared" si="31"/>
        <v>1750</v>
      </c>
      <c r="Y34" s="67"/>
      <c r="Z34" s="32">
        <f t="shared" si="32"/>
        <v>350</v>
      </c>
      <c r="AA34" s="32">
        <f t="shared" si="33"/>
        <v>0</v>
      </c>
      <c r="AC34" s="322"/>
      <c r="AD34" s="322"/>
      <c r="AE34" s="322"/>
    </row>
    <row r="35" spans="1:31">
      <c r="A35" s="320"/>
      <c r="B35" s="321"/>
      <c r="C35" s="192" t="s">
        <v>385</v>
      </c>
      <c r="D35" s="197" t="s">
        <v>70</v>
      </c>
      <c r="E35" s="29">
        <f t="shared" si="22"/>
        <v>120</v>
      </c>
      <c r="F35" s="40">
        <v>51.3</v>
      </c>
      <c r="G35" s="40">
        <f t="shared" si="23"/>
        <v>6156</v>
      </c>
      <c r="H35" s="197"/>
      <c r="I35" s="67">
        <v>75</v>
      </c>
      <c r="J35" s="32">
        <f t="shared" si="24"/>
        <v>51.3</v>
      </c>
      <c r="K35" s="32">
        <f t="shared" si="25"/>
        <v>3847.5</v>
      </c>
      <c r="M35" s="67"/>
      <c r="N35" s="32">
        <f t="shared" si="26"/>
        <v>51.3</v>
      </c>
      <c r="O35" s="32">
        <f t="shared" si="27"/>
        <v>0</v>
      </c>
      <c r="Q35" s="67">
        <v>45</v>
      </c>
      <c r="R35" s="32">
        <f t="shared" si="28"/>
        <v>51.3</v>
      </c>
      <c r="S35" s="32">
        <f t="shared" si="29"/>
        <v>2308.5</v>
      </c>
      <c r="U35" s="67"/>
      <c r="V35" s="32">
        <f t="shared" si="30"/>
        <v>51.3</v>
      </c>
      <c r="W35" s="32">
        <f t="shared" si="31"/>
        <v>0</v>
      </c>
      <c r="Y35" s="67"/>
      <c r="Z35" s="32">
        <f t="shared" si="32"/>
        <v>51.3</v>
      </c>
      <c r="AA35" s="32">
        <f t="shared" si="33"/>
        <v>0</v>
      </c>
      <c r="AC35" s="322"/>
      <c r="AD35" s="322"/>
      <c r="AE35" s="322"/>
    </row>
    <row r="36" spans="1:31">
      <c r="A36" s="320"/>
      <c r="B36" s="321"/>
      <c r="C36" s="192" t="s">
        <v>386</v>
      </c>
      <c r="D36" s="197" t="s">
        <v>69</v>
      </c>
      <c r="E36" s="29">
        <f t="shared" si="22"/>
        <v>0</v>
      </c>
      <c r="F36" s="40">
        <v>595</v>
      </c>
      <c r="G36" s="40">
        <f t="shared" si="23"/>
        <v>0</v>
      </c>
      <c r="H36" s="197"/>
      <c r="I36" s="67"/>
      <c r="J36" s="32">
        <f t="shared" si="24"/>
        <v>595</v>
      </c>
      <c r="K36" s="32">
        <f t="shared" si="25"/>
        <v>0</v>
      </c>
      <c r="M36" s="67"/>
      <c r="N36" s="32">
        <f t="shared" si="26"/>
        <v>595</v>
      </c>
      <c r="O36" s="32">
        <f t="shared" si="27"/>
        <v>0</v>
      </c>
      <c r="Q36" s="67"/>
      <c r="R36" s="32">
        <f t="shared" si="28"/>
        <v>595</v>
      </c>
      <c r="S36" s="32">
        <f t="shared" si="29"/>
        <v>0</v>
      </c>
      <c r="U36" s="67"/>
      <c r="V36" s="32">
        <f t="shared" si="30"/>
        <v>595</v>
      </c>
      <c r="W36" s="32">
        <f t="shared" si="31"/>
        <v>0</v>
      </c>
      <c r="Y36" s="67"/>
      <c r="Z36" s="32">
        <f t="shared" si="32"/>
        <v>595</v>
      </c>
      <c r="AA36" s="32">
        <f t="shared" si="33"/>
        <v>0</v>
      </c>
      <c r="AC36" s="322"/>
      <c r="AD36" s="322"/>
      <c r="AE36" s="322"/>
    </row>
    <row r="37" spans="1:31">
      <c r="A37" s="320"/>
      <c r="B37" s="321"/>
      <c r="C37" s="192" t="s">
        <v>653</v>
      </c>
      <c r="D37" s="197" t="s">
        <v>69</v>
      </c>
      <c r="E37" s="29">
        <f t="shared" si="22"/>
        <v>5</v>
      </c>
      <c r="F37" s="40">
        <v>980</v>
      </c>
      <c r="G37" s="40">
        <f t="shared" si="23"/>
        <v>4900</v>
      </c>
      <c r="H37" s="197"/>
      <c r="I37" s="67">
        <v>4</v>
      </c>
      <c r="J37" s="32">
        <f t="shared" si="24"/>
        <v>980</v>
      </c>
      <c r="K37" s="32">
        <f t="shared" si="25"/>
        <v>3920</v>
      </c>
      <c r="M37" s="67"/>
      <c r="N37" s="32">
        <f t="shared" si="26"/>
        <v>980</v>
      </c>
      <c r="O37" s="32">
        <f t="shared" si="27"/>
        <v>0</v>
      </c>
      <c r="Q37" s="67">
        <v>1</v>
      </c>
      <c r="R37" s="32">
        <f t="shared" si="28"/>
        <v>980</v>
      </c>
      <c r="S37" s="32">
        <f t="shared" si="29"/>
        <v>980</v>
      </c>
      <c r="U37" s="67"/>
      <c r="V37" s="32">
        <f t="shared" si="30"/>
        <v>980</v>
      </c>
      <c r="W37" s="32">
        <f t="shared" si="31"/>
        <v>0</v>
      </c>
      <c r="Y37" s="67"/>
      <c r="Z37" s="32">
        <f t="shared" si="32"/>
        <v>980</v>
      </c>
      <c r="AA37" s="32">
        <f t="shared" si="33"/>
        <v>0</v>
      </c>
      <c r="AC37" s="322"/>
      <c r="AD37" s="322"/>
      <c r="AE37" s="322"/>
    </row>
    <row r="38" spans="1:31">
      <c r="A38" s="320"/>
      <c r="B38" s="321"/>
      <c r="C38" s="192" t="s">
        <v>654</v>
      </c>
      <c r="D38" s="197" t="s">
        <v>70</v>
      </c>
      <c r="E38" s="29">
        <f t="shared" si="22"/>
        <v>12</v>
      </c>
      <c r="F38" s="40">
        <v>288</v>
      </c>
      <c r="G38" s="40">
        <f t="shared" si="23"/>
        <v>3456</v>
      </c>
      <c r="H38" s="197"/>
      <c r="I38" s="67"/>
      <c r="J38" s="32">
        <f t="shared" si="24"/>
        <v>288</v>
      </c>
      <c r="K38" s="32">
        <f t="shared" si="25"/>
        <v>0</v>
      </c>
      <c r="M38" s="67"/>
      <c r="N38" s="32">
        <f t="shared" si="26"/>
        <v>288</v>
      </c>
      <c r="O38" s="32">
        <f t="shared" si="27"/>
        <v>0</v>
      </c>
      <c r="Q38" s="67">
        <v>12</v>
      </c>
      <c r="R38" s="32">
        <f t="shared" si="28"/>
        <v>288</v>
      </c>
      <c r="S38" s="32">
        <f t="shared" si="29"/>
        <v>3456</v>
      </c>
      <c r="U38" s="67"/>
      <c r="V38" s="32">
        <f t="shared" si="30"/>
        <v>288</v>
      </c>
      <c r="W38" s="32">
        <f t="shared" si="31"/>
        <v>0</v>
      </c>
      <c r="Y38" s="67"/>
      <c r="Z38" s="32">
        <f t="shared" si="32"/>
        <v>288</v>
      </c>
      <c r="AA38" s="32">
        <f t="shared" si="33"/>
        <v>0</v>
      </c>
      <c r="AC38" s="322"/>
      <c r="AD38" s="322"/>
      <c r="AE38" s="322"/>
    </row>
    <row r="39" spans="1:31">
      <c r="A39" s="320"/>
      <c r="B39" s="321"/>
      <c r="C39" s="192" t="s">
        <v>384</v>
      </c>
      <c r="D39" s="197" t="s">
        <v>70</v>
      </c>
      <c r="E39" s="29">
        <f t="shared" si="22"/>
        <v>15</v>
      </c>
      <c r="F39" s="40">
        <f>F35</f>
        <v>51.3</v>
      </c>
      <c r="G39" s="40">
        <f t="shared" si="23"/>
        <v>769.5</v>
      </c>
      <c r="H39" s="197"/>
      <c r="I39" s="67"/>
      <c r="J39" s="32">
        <f t="shared" si="24"/>
        <v>51.3</v>
      </c>
      <c r="K39" s="32">
        <f t="shared" si="25"/>
        <v>0</v>
      </c>
      <c r="M39" s="67"/>
      <c r="N39" s="32">
        <f t="shared" si="26"/>
        <v>51.3</v>
      </c>
      <c r="O39" s="32">
        <f t="shared" si="27"/>
        <v>0</v>
      </c>
      <c r="Q39" s="67">
        <v>15</v>
      </c>
      <c r="R39" s="32">
        <f t="shared" si="28"/>
        <v>51.3</v>
      </c>
      <c r="S39" s="32">
        <f t="shared" si="29"/>
        <v>769.5</v>
      </c>
      <c r="U39" s="67"/>
      <c r="V39" s="32">
        <f t="shared" si="30"/>
        <v>51.3</v>
      </c>
      <c r="W39" s="32">
        <f t="shared" si="31"/>
        <v>0</v>
      </c>
      <c r="Y39" s="67"/>
      <c r="Z39" s="32">
        <f t="shared" si="32"/>
        <v>51.3</v>
      </c>
      <c r="AA39" s="32">
        <f t="shared" si="33"/>
        <v>0</v>
      </c>
      <c r="AC39" s="322"/>
      <c r="AD39" s="322"/>
      <c r="AE39" s="322"/>
    </row>
    <row r="40" spans="1:31">
      <c r="A40" s="320"/>
      <c r="B40" s="321"/>
      <c r="C40" s="192" t="s">
        <v>814</v>
      </c>
      <c r="D40" s="197" t="s">
        <v>69</v>
      </c>
      <c r="E40" s="29">
        <f t="shared" si="22"/>
        <v>1</v>
      </c>
      <c r="F40" s="40">
        <f>F37</f>
        <v>980</v>
      </c>
      <c r="G40" s="40">
        <f t="shared" si="23"/>
        <v>980</v>
      </c>
      <c r="H40" s="197"/>
      <c r="I40" s="67"/>
      <c r="J40" s="32">
        <f t="shared" si="24"/>
        <v>980</v>
      </c>
      <c r="K40" s="32">
        <f t="shared" si="25"/>
        <v>0</v>
      </c>
      <c r="M40" s="67"/>
      <c r="N40" s="32">
        <f t="shared" si="26"/>
        <v>980</v>
      </c>
      <c r="O40" s="32">
        <f t="shared" si="27"/>
        <v>0</v>
      </c>
      <c r="Q40" s="67">
        <v>1</v>
      </c>
      <c r="R40" s="32">
        <f t="shared" si="28"/>
        <v>980</v>
      </c>
      <c r="S40" s="32">
        <f t="shared" si="29"/>
        <v>980</v>
      </c>
      <c r="U40" s="67"/>
      <c r="V40" s="32">
        <f t="shared" si="30"/>
        <v>980</v>
      </c>
      <c r="W40" s="32">
        <f t="shared" si="31"/>
        <v>0</v>
      </c>
      <c r="Y40" s="67"/>
      <c r="Z40" s="32">
        <f t="shared" si="32"/>
        <v>980</v>
      </c>
      <c r="AA40" s="32">
        <f t="shared" si="33"/>
        <v>0</v>
      </c>
      <c r="AC40" s="322"/>
      <c r="AD40" s="322"/>
      <c r="AE40" s="322"/>
    </row>
    <row r="41" spans="1:31">
      <c r="A41" s="320"/>
      <c r="B41" s="321"/>
      <c r="C41" s="192" t="s">
        <v>759</v>
      </c>
      <c r="D41" s="197" t="s">
        <v>69</v>
      </c>
      <c r="E41" s="29">
        <f t="shared" si="22"/>
        <v>1</v>
      </c>
      <c r="F41" s="40">
        <v>8180</v>
      </c>
      <c r="G41" s="40">
        <f t="shared" si="23"/>
        <v>8180</v>
      </c>
      <c r="H41" s="197"/>
      <c r="I41" s="67"/>
      <c r="J41" s="32">
        <f t="shared" si="24"/>
        <v>8180</v>
      </c>
      <c r="K41" s="32">
        <f t="shared" si="25"/>
        <v>0</v>
      </c>
      <c r="M41" s="67"/>
      <c r="N41" s="32">
        <f t="shared" si="26"/>
        <v>8180</v>
      </c>
      <c r="O41" s="32">
        <f t="shared" si="27"/>
        <v>0</v>
      </c>
      <c r="Q41" s="67">
        <v>1</v>
      </c>
      <c r="R41" s="32">
        <f t="shared" si="28"/>
        <v>8180</v>
      </c>
      <c r="S41" s="32">
        <f t="shared" si="29"/>
        <v>8180</v>
      </c>
      <c r="U41" s="67"/>
      <c r="V41" s="32">
        <f t="shared" si="30"/>
        <v>8180</v>
      </c>
      <c r="W41" s="32">
        <f t="shared" si="31"/>
        <v>0</v>
      </c>
      <c r="Y41" s="67"/>
      <c r="Z41" s="32">
        <f t="shared" si="32"/>
        <v>8180</v>
      </c>
      <c r="AA41" s="32">
        <f t="shared" si="33"/>
        <v>0</v>
      </c>
      <c r="AB41" s="322"/>
    </row>
    <row r="42" spans="1:31">
      <c r="A42" s="320"/>
      <c r="B42" s="321"/>
      <c r="C42" s="348" t="s">
        <v>815</v>
      </c>
      <c r="D42" s="197" t="s">
        <v>69</v>
      </c>
      <c r="E42" s="29">
        <f t="shared" si="22"/>
        <v>1</v>
      </c>
      <c r="F42" s="40">
        <v>1950</v>
      </c>
      <c r="G42" s="40">
        <f t="shared" si="23"/>
        <v>1950</v>
      </c>
      <c r="H42" s="197"/>
      <c r="I42" s="67"/>
      <c r="J42" s="32">
        <f t="shared" si="24"/>
        <v>1950</v>
      </c>
      <c r="K42" s="32">
        <f t="shared" si="25"/>
        <v>0</v>
      </c>
      <c r="M42" s="67"/>
      <c r="N42" s="32">
        <f t="shared" si="26"/>
        <v>1950</v>
      </c>
      <c r="O42" s="32">
        <f t="shared" si="27"/>
        <v>0</v>
      </c>
      <c r="Q42" s="67">
        <v>1</v>
      </c>
      <c r="R42" s="32">
        <f t="shared" si="28"/>
        <v>1950</v>
      </c>
      <c r="S42" s="32">
        <f t="shared" si="29"/>
        <v>1950</v>
      </c>
      <c r="U42" s="67"/>
      <c r="V42" s="32">
        <f t="shared" si="30"/>
        <v>1950</v>
      </c>
      <c r="W42" s="32">
        <f t="shared" si="31"/>
        <v>0</v>
      </c>
      <c r="Y42" s="67"/>
      <c r="Z42" s="32">
        <f t="shared" si="32"/>
        <v>1950</v>
      </c>
      <c r="AA42" s="32">
        <f t="shared" si="33"/>
        <v>0</v>
      </c>
      <c r="AC42" s="322"/>
      <c r="AD42" s="322"/>
      <c r="AE42" s="322"/>
    </row>
    <row r="43" spans="1:31">
      <c r="A43" s="14"/>
      <c r="B43" s="31"/>
      <c r="C43" s="28"/>
      <c r="D43" s="67"/>
      <c r="E43" s="67"/>
      <c r="F43" s="32"/>
      <c r="G43" s="32"/>
      <c r="H43" s="67"/>
      <c r="I43" s="67"/>
      <c r="J43" s="32"/>
      <c r="K43" s="32"/>
      <c r="M43" s="67"/>
      <c r="N43" s="32"/>
      <c r="O43" s="32"/>
      <c r="Q43" s="67"/>
      <c r="R43" s="32"/>
      <c r="S43" s="32"/>
      <c r="U43" s="67"/>
      <c r="V43" s="32"/>
      <c r="W43" s="32"/>
      <c r="Y43" s="67"/>
      <c r="Z43" s="32"/>
      <c r="AA43" s="32"/>
      <c r="AC43" s="22"/>
      <c r="AD43" s="22"/>
      <c r="AE43" s="22"/>
    </row>
    <row r="44" spans="1:31">
      <c r="A44" s="35"/>
      <c r="B44" s="27"/>
      <c r="C44" s="38" t="s">
        <v>380</v>
      </c>
      <c r="D44" s="68"/>
      <c r="E44" s="369"/>
      <c r="F44" s="33" t="s">
        <v>10</v>
      </c>
      <c r="G44" s="34">
        <f>K44+O44+S44+W44+AA44</f>
        <v>45794.8</v>
      </c>
      <c r="H44" s="68"/>
      <c r="I44" s="369"/>
      <c r="J44" s="33" t="s">
        <v>10</v>
      </c>
      <c r="K44" s="34">
        <f>SUM(K28:K43)</f>
        <v>10595.8</v>
      </c>
      <c r="M44" s="369"/>
      <c r="N44" s="33" t="s">
        <v>10</v>
      </c>
      <c r="O44" s="34">
        <f>SUM(O28:O43)</f>
        <v>200</v>
      </c>
      <c r="Q44" s="369"/>
      <c r="R44" s="33" t="s">
        <v>10</v>
      </c>
      <c r="S44" s="34">
        <f>SUM(S28:S43)</f>
        <v>19930</v>
      </c>
      <c r="U44" s="369"/>
      <c r="V44" s="33" t="s">
        <v>10</v>
      </c>
      <c r="W44" s="34">
        <f>SUM(W28:W43)</f>
        <v>15069</v>
      </c>
      <c r="Y44" s="369"/>
      <c r="Z44" s="33" t="s">
        <v>10</v>
      </c>
      <c r="AA44" s="34">
        <f>SUM(AA28:AA43)</f>
        <v>0</v>
      </c>
    </row>
    <row r="45" spans="1:31">
      <c r="A45" s="35"/>
      <c r="B45" s="27"/>
      <c r="C45" s="36"/>
      <c r="D45" s="68"/>
      <c r="E45" s="369"/>
      <c r="F45" s="33"/>
      <c r="G45" s="34"/>
      <c r="H45" s="68"/>
      <c r="I45" s="369"/>
      <c r="J45" s="33"/>
      <c r="K45" s="34"/>
      <c r="M45" s="369"/>
      <c r="N45" s="33"/>
      <c r="O45" s="34"/>
      <c r="Q45" s="369"/>
      <c r="R45" s="33"/>
      <c r="S45" s="34"/>
      <c r="U45" s="369"/>
      <c r="V45" s="33"/>
      <c r="W45" s="34"/>
      <c r="Y45" s="369"/>
      <c r="Z45" s="33"/>
      <c r="AA45" s="34"/>
    </row>
    <row r="46" spans="1:31">
      <c r="A46" s="14"/>
      <c r="B46" s="31"/>
      <c r="C46" s="38"/>
      <c r="D46" s="69"/>
      <c r="E46" s="369"/>
      <c r="F46" s="30"/>
      <c r="G46" s="34"/>
      <c r="H46" s="69"/>
      <c r="I46" s="369"/>
      <c r="J46" s="30"/>
      <c r="K46" s="34"/>
      <c r="M46" s="369"/>
      <c r="N46" s="30"/>
      <c r="O46" s="34"/>
      <c r="Q46" s="369"/>
      <c r="R46" s="30"/>
      <c r="S46" s="34"/>
      <c r="U46" s="369"/>
      <c r="V46" s="30"/>
      <c r="W46" s="34"/>
      <c r="Y46" s="369"/>
      <c r="Z46" s="30"/>
      <c r="AA46" s="34"/>
    </row>
    <row r="47" spans="1:31">
      <c r="A47" s="61"/>
      <c r="B47" s="62" t="s">
        <v>78</v>
      </c>
      <c r="C47" s="63" t="s">
        <v>487</v>
      </c>
      <c r="D47" s="64"/>
      <c r="E47" s="366"/>
      <c r="F47" s="66"/>
      <c r="G47" s="66"/>
      <c r="H47" s="64"/>
      <c r="I47" s="366"/>
      <c r="J47" s="66"/>
      <c r="K47" s="66"/>
      <c r="L47" s="26"/>
      <c r="M47" s="366"/>
      <c r="N47" s="66"/>
      <c r="O47" s="66"/>
      <c r="P47" s="26"/>
      <c r="Q47" s="366"/>
      <c r="R47" s="66"/>
      <c r="S47" s="66"/>
      <c r="T47" s="26"/>
      <c r="U47" s="366"/>
      <c r="V47" s="66"/>
      <c r="W47" s="66"/>
      <c r="X47" s="26"/>
      <c r="Y47" s="366"/>
      <c r="Z47" s="66"/>
      <c r="AA47" s="66"/>
    </row>
    <row r="48" spans="1:31">
      <c r="A48" s="320"/>
      <c r="B48" s="321"/>
      <c r="C48" s="192" t="s">
        <v>824</v>
      </c>
      <c r="D48" s="197" t="s">
        <v>70</v>
      </c>
      <c r="E48" s="29">
        <f>I48+Q48</f>
        <v>182</v>
      </c>
      <c r="F48" s="40">
        <v>48</v>
      </c>
      <c r="G48" s="40">
        <f t="shared" ref="G48:G53" si="34">K48+O48+S48+W48+AA48</f>
        <v>8736</v>
      </c>
      <c r="H48" s="197"/>
      <c r="I48" s="67">
        <v>120</v>
      </c>
      <c r="J48" s="32">
        <f t="shared" ref="J48:J53" si="35">$F48</f>
        <v>48</v>
      </c>
      <c r="K48" s="32">
        <f t="shared" ref="K48:K53" si="36">I48*J48</f>
        <v>5760</v>
      </c>
      <c r="M48" s="67"/>
      <c r="N48" s="32">
        <f t="shared" ref="N48:N53" si="37">$F48</f>
        <v>48</v>
      </c>
      <c r="O48" s="32">
        <f t="shared" ref="O48:O53" si="38">M48*N48</f>
        <v>0</v>
      </c>
      <c r="Q48" s="67">
        <v>62</v>
      </c>
      <c r="R48" s="32">
        <f t="shared" ref="R48:R53" si="39">$F48</f>
        <v>48</v>
      </c>
      <c r="S48" s="32">
        <f t="shared" ref="S48:S53" si="40">Q48*R48</f>
        <v>2976</v>
      </c>
      <c r="U48" s="67"/>
      <c r="V48" s="32">
        <f t="shared" ref="V48:V53" si="41">$F48</f>
        <v>48</v>
      </c>
      <c r="W48" s="32">
        <f t="shared" ref="W48:W53" si="42">U48*V48</f>
        <v>0</v>
      </c>
      <c r="Y48" s="67"/>
      <c r="Z48" s="32">
        <f t="shared" ref="Z48:Z53" si="43">$F48</f>
        <v>48</v>
      </c>
      <c r="AA48" s="32">
        <f t="shared" ref="AA48:AA53" si="44">Y48*Z48</f>
        <v>0</v>
      </c>
      <c r="AB48" s="322"/>
    </row>
    <row r="49" spans="1:28">
      <c r="A49" s="320"/>
      <c r="B49" s="321"/>
      <c r="C49" s="192" t="s">
        <v>813</v>
      </c>
      <c r="D49" s="197" t="s">
        <v>70</v>
      </c>
      <c r="E49" s="29">
        <f>I49+Q49</f>
        <v>72</v>
      </c>
      <c r="F49" s="40">
        <v>41</v>
      </c>
      <c r="G49" s="40">
        <f t="shared" si="34"/>
        <v>3034</v>
      </c>
      <c r="H49" s="197"/>
      <c r="I49" s="67">
        <v>32</v>
      </c>
      <c r="J49" s="32">
        <f t="shared" si="35"/>
        <v>41</v>
      </c>
      <c r="K49" s="32">
        <f t="shared" si="36"/>
        <v>1312</v>
      </c>
      <c r="M49" s="67"/>
      <c r="N49" s="32">
        <f t="shared" si="37"/>
        <v>41</v>
      </c>
      <c r="O49" s="32">
        <f t="shared" si="38"/>
        <v>0</v>
      </c>
      <c r="Q49" s="67">
        <v>40</v>
      </c>
      <c r="R49" s="32">
        <f t="shared" si="39"/>
        <v>41</v>
      </c>
      <c r="S49" s="32">
        <f t="shared" si="40"/>
        <v>1640</v>
      </c>
      <c r="U49" s="67">
        <v>2</v>
      </c>
      <c r="V49" s="32">
        <f t="shared" si="41"/>
        <v>41</v>
      </c>
      <c r="W49" s="32">
        <f t="shared" si="42"/>
        <v>82</v>
      </c>
      <c r="Y49" s="67"/>
      <c r="Z49" s="32">
        <f t="shared" si="43"/>
        <v>41</v>
      </c>
      <c r="AA49" s="32">
        <f t="shared" si="44"/>
        <v>0</v>
      </c>
      <c r="AB49" s="322"/>
    </row>
    <row r="50" spans="1:28">
      <c r="A50" s="320"/>
      <c r="B50" s="321"/>
      <c r="C50" s="192" t="s">
        <v>511</v>
      </c>
      <c r="D50" s="197" t="s">
        <v>11</v>
      </c>
      <c r="E50" s="29">
        <f>I50+Q50</f>
        <v>340</v>
      </c>
      <c r="F50" s="40">
        <f>0.5*63+68</f>
        <v>99.5</v>
      </c>
      <c r="G50" s="40">
        <f t="shared" si="34"/>
        <v>33830</v>
      </c>
      <c r="H50" s="197"/>
      <c r="I50" s="67">
        <v>70</v>
      </c>
      <c r="J50" s="32">
        <f t="shared" si="35"/>
        <v>99.5</v>
      </c>
      <c r="K50" s="32">
        <f t="shared" si="36"/>
        <v>6965</v>
      </c>
      <c r="M50" s="67"/>
      <c r="N50" s="32">
        <f t="shared" si="37"/>
        <v>99.5</v>
      </c>
      <c r="O50" s="32">
        <f t="shared" si="38"/>
        <v>0</v>
      </c>
      <c r="Q50" s="67">
        <v>270</v>
      </c>
      <c r="R50" s="32">
        <f t="shared" si="39"/>
        <v>99.5</v>
      </c>
      <c r="S50" s="32">
        <f t="shared" si="40"/>
        <v>26865</v>
      </c>
      <c r="U50" s="67"/>
      <c r="V50" s="32">
        <f t="shared" si="41"/>
        <v>99.5</v>
      </c>
      <c r="W50" s="32">
        <f t="shared" si="42"/>
        <v>0</v>
      </c>
      <c r="Y50" s="67"/>
      <c r="Z50" s="32">
        <f t="shared" si="43"/>
        <v>99.5</v>
      </c>
      <c r="AA50" s="32">
        <f t="shared" si="44"/>
        <v>0</v>
      </c>
      <c r="AB50" s="322"/>
    </row>
    <row r="51" spans="1:28">
      <c r="A51" s="320"/>
      <c r="B51" s="321"/>
      <c r="C51" s="192" t="s">
        <v>510</v>
      </c>
      <c r="D51" s="197" t="s">
        <v>11</v>
      </c>
      <c r="E51" s="29">
        <f>I51+Q51+M51+Y51+U51</f>
        <v>35</v>
      </c>
      <c r="F51" s="40">
        <v>124.8</v>
      </c>
      <c r="G51" s="40">
        <f t="shared" si="34"/>
        <v>4368</v>
      </c>
      <c r="H51" s="197"/>
      <c r="I51" s="67"/>
      <c r="J51" s="32">
        <f t="shared" si="35"/>
        <v>124.8</v>
      </c>
      <c r="K51" s="32">
        <f t="shared" si="36"/>
        <v>0</v>
      </c>
      <c r="M51" s="67">
        <v>35</v>
      </c>
      <c r="N51" s="32">
        <f t="shared" si="37"/>
        <v>124.8</v>
      </c>
      <c r="O51" s="32">
        <f t="shared" si="38"/>
        <v>4368</v>
      </c>
      <c r="Q51" s="67"/>
      <c r="R51" s="32">
        <f t="shared" si="39"/>
        <v>124.8</v>
      </c>
      <c r="S51" s="32">
        <f t="shared" si="40"/>
        <v>0</v>
      </c>
      <c r="U51" s="67"/>
      <c r="V51" s="32">
        <f t="shared" si="41"/>
        <v>124.8</v>
      </c>
      <c r="W51" s="32">
        <f t="shared" si="42"/>
        <v>0</v>
      </c>
      <c r="Y51" s="67"/>
      <c r="Z51" s="32">
        <f t="shared" si="43"/>
        <v>124.8</v>
      </c>
      <c r="AA51" s="32">
        <f t="shared" si="44"/>
        <v>0</v>
      </c>
      <c r="AB51" s="322"/>
    </row>
    <row r="52" spans="1:28">
      <c r="A52" s="320"/>
      <c r="B52" s="321"/>
      <c r="C52" s="192" t="s">
        <v>488</v>
      </c>
      <c r="D52" s="197" t="s">
        <v>11</v>
      </c>
      <c r="E52" s="29">
        <f>I52+Q52+U52</f>
        <v>373</v>
      </c>
      <c r="F52" s="40">
        <v>44.5</v>
      </c>
      <c r="G52" s="40">
        <f t="shared" si="34"/>
        <v>16598.5</v>
      </c>
      <c r="H52" s="197"/>
      <c r="I52" s="67">
        <v>268</v>
      </c>
      <c r="J52" s="32">
        <f t="shared" si="35"/>
        <v>44.5</v>
      </c>
      <c r="K52" s="32">
        <f t="shared" si="36"/>
        <v>11926</v>
      </c>
      <c r="M52" s="67"/>
      <c r="N52" s="32">
        <f t="shared" si="37"/>
        <v>44.5</v>
      </c>
      <c r="O52" s="32">
        <f t="shared" si="38"/>
        <v>0</v>
      </c>
      <c r="Q52" s="67">
        <v>80</v>
      </c>
      <c r="R52" s="32">
        <f t="shared" si="39"/>
        <v>44.5</v>
      </c>
      <c r="S52" s="32">
        <f t="shared" si="40"/>
        <v>3560</v>
      </c>
      <c r="U52" s="67">
        <v>25</v>
      </c>
      <c r="V52" s="32">
        <f t="shared" si="41"/>
        <v>44.5</v>
      </c>
      <c r="W52" s="32">
        <f t="shared" si="42"/>
        <v>1112.5</v>
      </c>
      <c r="Y52" s="67"/>
      <c r="Z52" s="32">
        <f t="shared" si="43"/>
        <v>44.5</v>
      </c>
      <c r="AA52" s="32">
        <f t="shared" si="44"/>
        <v>0</v>
      </c>
      <c r="AB52" s="322"/>
    </row>
    <row r="53" spans="1:28">
      <c r="A53" s="320"/>
      <c r="B53" s="321"/>
      <c r="C53" s="192" t="s">
        <v>652</v>
      </c>
      <c r="D53" s="197" t="s">
        <v>11</v>
      </c>
      <c r="E53" s="29">
        <f t="shared" ref="E53:E60" si="45">I53+Q53</f>
        <v>35</v>
      </c>
      <c r="F53" s="40">
        <v>38.6</v>
      </c>
      <c r="G53" s="40">
        <f t="shared" si="34"/>
        <v>1351</v>
      </c>
      <c r="H53" s="197"/>
      <c r="I53" s="67">
        <v>35</v>
      </c>
      <c r="J53" s="32">
        <f t="shared" si="35"/>
        <v>38.6</v>
      </c>
      <c r="K53" s="32">
        <f t="shared" si="36"/>
        <v>1351</v>
      </c>
      <c r="M53" s="67"/>
      <c r="N53" s="32">
        <f t="shared" si="37"/>
        <v>38.6</v>
      </c>
      <c r="O53" s="32">
        <f t="shared" si="38"/>
        <v>0</v>
      </c>
      <c r="Q53" s="67"/>
      <c r="R53" s="32">
        <f t="shared" si="39"/>
        <v>38.6</v>
      </c>
      <c r="S53" s="32">
        <f t="shared" si="40"/>
        <v>0</v>
      </c>
      <c r="U53" s="67"/>
      <c r="V53" s="32">
        <f t="shared" si="41"/>
        <v>38.6</v>
      </c>
      <c r="W53" s="32">
        <f t="shared" si="42"/>
        <v>0</v>
      </c>
      <c r="Y53" s="67"/>
      <c r="Z53" s="32">
        <f t="shared" si="43"/>
        <v>38.6</v>
      </c>
      <c r="AA53" s="32">
        <f t="shared" si="44"/>
        <v>0</v>
      </c>
      <c r="AB53" s="322"/>
    </row>
    <row r="54" spans="1:28">
      <c r="A54" s="320"/>
      <c r="B54" s="321"/>
      <c r="C54" s="192" t="s">
        <v>489</v>
      </c>
      <c r="D54" s="197"/>
      <c r="E54" s="29">
        <f t="shared" si="45"/>
        <v>0</v>
      </c>
      <c r="F54" s="40"/>
      <c r="G54" s="40"/>
      <c r="H54" s="197"/>
      <c r="I54" s="197"/>
      <c r="J54" s="40"/>
      <c r="K54" s="40"/>
      <c r="M54" s="197"/>
      <c r="N54" s="40"/>
      <c r="O54" s="40"/>
      <c r="Q54" s="197"/>
      <c r="R54" s="40"/>
      <c r="S54" s="40"/>
      <c r="U54" s="197"/>
      <c r="V54" s="40"/>
      <c r="W54" s="40"/>
      <c r="Y54" s="197"/>
      <c r="Z54" s="40"/>
      <c r="AA54" s="40"/>
      <c r="AB54" s="322"/>
    </row>
    <row r="55" spans="1:28">
      <c r="A55" s="320"/>
      <c r="B55" s="321"/>
      <c r="C55" s="323" t="s">
        <v>505</v>
      </c>
      <c r="D55" s="197" t="s">
        <v>69</v>
      </c>
      <c r="E55" s="29">
        <f t="shared" si="45"/>
        <v>5</v>
      </c>
      <c r="F55" s="40">
        <v>128</v>
      </c>
      <c r="G55" s="40">
        <f t="shared" ref="G55:G60" si="46">K55+O55+S55+W55+AA55</f>
        <v>640</v>
      </c>
      <c r="H55" s="197"/>
      <c r="I55" s="67"/>
      <c r="J55" s="32">
        <f t="shared" ref="J55:J60" si="47">$F55</f>
        <v>128</v>
      </c>
      <c r="K55" s="32">
        <f t="shared" ref="K55:K60" si="48">I55*J55</f>
        <v>0</v>
      </c>
      <c r="M55" s="67"/>
      <c r="N55" s="32">
        <f t="shared" ref="N55:N60" si="49">$F55</f>
        <v>128</v>
      </c>
      <c r="O55" s="32">
        <f t="shared" ref="O55:O60" si="50">M55*N55</f>
        <v>0</v>
      </c>
      <c r="Q55" s="67">
        <v>5</v>
      </c>
      <c r="R55" s="32">
        <f t="shared" ref="R55:R60" si="51">$F55</f>
        <v>128</v>
      </c>
      <c r="S55" s="32">
        <f t="shared" ref="S55:S60" si="52">Q55*R55</f>
        <v>640</v>
      </c>
      <c r="U55" s="67"/>
      <c r="V55" s="32">
        <f t="shared" ref="V55:V60" si="53">$F55</f>
        <v>128</v>
      </c>
      <c r="W55" s="32">
        <f t="shared" ref="W55:W60" si="54">U55*V55</f>
        <v>0</v>
      </c>
      <c r="Y55" s="67"/>
      <c r="Z55" s="32">
        <f t="shared" ref="Z55:Z60" si="55">$F55</f>
        <v>128</v>
      </c>
      <c r="AA55" s="32">
        <f t="shared" ref="AA55:AA60" si="56">Y55*Z55</f>
        <v>0</v>
      </c>
      <c r="AB55" s="322"/>
    </row>
    <row r="56" spans="1:28">
      <c r="A56" s="320"/>
      <c r="B56" s="321"/>
      <c r="C56" s="323" t="s">
        <v>506</v>
      </c>
      <c r="D56" s="197" t="s">
        <v>6</v>
      </c>
      <c r="E56" s="29">
        <f t="shared" si="45"/>
        <v>1</v>
      </c>
      <c r="F56" s="40">
        <v>680</v>
      </c>
      <c r="G56" s="40">
        <f t="shared" si="46"/>
        <v>680</v>
      </c>
      <c r="H56" s="197"/>
      <c r="I56" s="67">
        <v>1</v>
      </c>
      <c r="J56" s="32">
        <f t="shared" si="47"/>
        <v>680</v>
      </c>
      <c r="K56" s="32">
        <f t="shared" si="48"/>
        <v>680</v>
      </c>
      <c r="M56" s="67"/>
      <c r="N56" s="32">
        <f t="shared" si="49"/>
        <v>680</v>
      </c>
      <c r="O56" s="32">
        <f t="shared" si="50"/>
        <v>0</v>
      </c>
      <c r="Q56" s="67"/>
      <c r="R56" s="32">
        <f t="shared" si="51"/>
        <v>680</v>
      </c>
      <c r="S56" s="32">
        <f t="shared" si="52"/>
        <v>0</v>
      </c>
      <c r="U56" s="67"/>
      <c r="V56" s="32">
        <f t="shared" si="53"/>
        <v>680</v>
      </c>
      <c r="W56" s="32">
        <f t="shared" si="54"/>
        <v>0</v>
      </c>
      <c r="Y56" s="67"/>
      <c r="Z56" s="32">
        <f t="shared" si="55"/>
        <v>680</v>
      </c>
      <c r="AA56" s="32">
        <f t="shared" si="56"/>
        <v>0</v>
      </c>
      <c r="AB56" s="322"/>
    </row>
    <row r="57" spans="1:28">
      <c r="A57" s="14"/>
      <c r="B57" s="31"/>
      <c r="C57" s="196" t="s">
        <v>508</v>
      </c>
      <c r="D57" s="67" t="s">
        <v>69</v>
      </c>
      <c r="E57" s="29">
        <f t="shared" si="45"/>
        <v>4</v>
      </c>
      <c r="F57" s="32">
        <v>42</v>
      </c>
      <c r="G57" s="32">
        <f t="shared" si="46"/>
        <v>168</v>
      </c>
      <c r="H57" s="67"/>
      <c r="I57" s="67"/>
      <c r="J57" s="32">
        <f t="shared" si="47"/>
        <v>42</v>
      </c>
      <c r="K57" s="32">
        <f t="shared" si="48"/>
        <v>0</v>
      </c>
      <c r="M57" s="67"/>
      <c r="N57" s="32">
        <f t="shared" si="49"/>
        <v>42</v>
      </c>
      <c r="O57" s="32">
        <f t="shared" si="50"/>
        <v>0</v>
      </c>
      <c r="Q57" s="67">
        <v>4</v>
      </c>
      <c r="R57" s="32">
        <f t="shared" si="51"/>
        <v>42</v>
      </c>
      <c r="S57" s="32">
        <f t="shared" si="52"/>
        <v>168</v>
      </c>
      <c r="U57" s="67"/>
      <c r="V57" s="32">
        <f t="shared" si="53"/>
        <v>42</v>
      </c>
      <c r="W57" s="32">
        <f t="shared" si="54"/>
        <v>0</v>
      </c>
      <c r="Y57" s="67"/>
      <c r="Z57" s="32">
        <f t="shared" si="55"/>
        <v>42</v>
      </c>
      <c r="AA57" s="32">
        <f t="shared" si="56"/>
        <v>0</v>
      </c>
      <c r="AB57" s="22"/>
    </row>
    <row r="58" spans="1:28">
      <c r="A58" s="320"/>
      <c r="B58" s="321"/>
      <c r="C58" s="323" t="s">
        <v>507</v>
      </c>
      <c r="D58" s="197" t="s">
        <v>11</v>
      </c>
      <c r="E58" s="29">
        <f t="shared" si="45"/>
        <v>120</v>
      </c>
      <c r="F58" s="40">
        <v>26.5</v>
      </c>
      <c r="G58" s="40">
        <f t="shared" si="46"/>
        <v>3180</v>
      </c>
      <c r="H58" s="197"/>
      <c r="I58" s="67"/>
      <c r="J58" s="32">
        <f t="shared" si="47"/>
        <v>26.5</v>
      </c>
      <c r="K58" s="32">
        <f t="shared" si="48"/>
        <v>0</v>
      </c>
      <c r="M58" s="67"/>
      <c r="N58" s="32">
        <f t="shared" si="49"/>
        <v>26.5</v>
      </c>
      <c r="O58" s="32">
        <f t="shared" si="50"/>
        <v>0</v>
      </c>
      <c r="Q58" s="67">
        <v>120</v>
      </c>
      <c r="R58" s="32">
        <f t="shared" si="51"/>
        <v>26.5</v>
      </c>
      <c r="S58" s="32">
        <f t="shared" si="52"/>
        <v>3180</v>
      </c>
      <c r="U58" s="67"/>
      <c r="V58" s="32">
        <f t="shared" si="53"/>
        <v>26.5</v>
      </c>
      <c r="W58" s="32">
        <f t="shared" si="54"/>
        <v>0</v>
      </c>
      <c r="Y58" s="67"/>
      <c r="Z58" s="32">
        <f t="shared" si="55"/>
        <v>26.5</v>
      </c>
      <c r="AA58" s="32">
        <f t="shared" si="56"/>
        <v>0</v>
      </c>
      <c r="AB58" s="322"/>
    </row>
    <row r="59" spans="1:28">
      <c r="A59" s="14"/>
      <c r="B59" s="31"/>
      <c r="C59" s="196" t="s">
        <v>509</v>
      </c>
      <c r="D59" s="67" t="s">
        <v>69</v>
      </c>
      <c r="E59" s="29">
        <f t="shared" si="45"/>
        <v>4</v>
      </c>
      <c r="F59" s="32">
        <v>65</v>
      </c>
      <c r="G59" s="32">
        <f t="shared" si="46"/>
        <v>260</v>
      </c>
      <c r="H59" s="67"/>
      <c r="I59" s="67">
        <v>2</v>
      </c>
      <c r="J59" s="32">
        <f t="shared" si="47"/>
        <v>65</v>
      </c>
      <c r="K59" s="32">
        <f t="shared" si="48"/>
        <v>130</v>
      </c>
      <c r="M59" s="67"/>
      <c r="N59" s="32">
        <f t="shared" si="49"/>
        <v>65</v>
      </c>
      <c r="O59" s="32">
        <f t="shared" si="50"/>
        <v>0</v>
      </c>
      <c r="Q59" s="67">
        <v>2</v>
      </c>
      <c r="R59" s="32">
        <f t="shared" si="51"/>
        <v>65</v>
      </c>
      <c r="S59" s="32">
        <f t="shared" si="52"/>
        <v>130</v>
      </c>
      <c r="U59" s="67"/>
      <c r="V59" s="32">
        <f t="shared" si="53"/>
        <v>65</v>
      </c>
      <c r="W59" s="32">
        <f t="shared" si="54"/>
        <v>0</v>
      </c>
      <c r="Y59" s="67"/>
      <c r="Z59" s="32">
        <f t="shared" si="55"/>
        <v>65</v>
      </c>
      <c r="AA59" s="32">
        <f t="shared" si="56"/>
        <v>0</v>
      </c>
      <c r="AB59" s="22"/>
    </row>
    <row r="60" spans="1:28">
      <c r="A60" s="14"/>
      <c r="B60" s="31"/>
      <c r="C60" s="28" t="s">
        <v>504</v>
      </c>
      <c r="D60" s="67" t="s">
        <v>70</v>
      </c>
      <c r="E60" s="29">
        <f t="shared" si="45"/>
        <v>8</v>
      </c>
      <c r="F60" s="32">
        <v>304</v>
      </c>
      <c r="G60" s="32">
        <f t="shared" si="46"/>
        <v>2432</v>
      </c>
      <c r="H60" s="67"/>
      <c r="I60" s="67"/>
      <c r="J60" s="32">
        <f t="shared" si="47"/>
        <v>304</v>
      </c>
      <c r="K60" s="32">
        <f t="shared" si="48"/>
        <v>0</v>
      </c>
      <c r="M60" s="67"/>
      <c r="N60" s="32">
        <f t="shared" si="49"/>
        <v>304</v>
      </c>
      <c r="O60" s="32">
        <f t="shared" si="50"/>
        <v>0</v>
      </c>
      <c r="Q60" s="67">
        <v>8</v>
      </c>
      <c r="R60" s="32">
        <f t="shared" si="51"/>
        <v>304</v>
      </c>
      <c r="S60" s="32">
        <f t="shared" si="52"/>
        <v>2432</v>
      </c>
      <c r="U60" s="67"/>
      <c r="V60" s="32">
        <f t="shared" si="53"/>
        <v>304</v>
      </c>
      <c r="W60" s="32">
        <f t="shared" si="54"/>
        <v>0</v>
      </c>
      <c r="Y60" s="67"/>
      <c r="Z60" s="32">
        <f t="shared" si="55"/>
        <v>304</v>
      </c>
      <c r="AA60" s="32">
        <f t="shared" si="56"/>
        <v>0</v>
      </c>
      <c r="AB60" s="22"/>
    </row>
    <row r="61" spans="1:28">
      <c r="A61" s="14"/>
      <c r="B61" s="31"/>
      <c r="C61" s="28"/>
      <c r="D61" s="67"/>
      <c r="E61" s="67"/>
      <c r="F61" s="32"/>
      <c r="G61" s="32"/>
      <c r="H61" s="67"/>
      <c r="I61" s="67"/>
      <c r="J61" s="32"/>
      <c r="K61" s="32"/>
      <c r="M61" s="67"/>
      <c r="N61" s="32"/>
      <c r="O61" s="32"/>
      <c r="Q61" s="67"/>
      <c r="R61" s="32"/>
      <c r="S61" s="32"/>
      <c r="U61" s="67"/>
      <c r="V61" s="32"/>
      <c r="W61" s="32"/>
      <c r="Y61" s="67"/>
      <c r="Z61" s="32"/>
      <c r="AA61" s="32"/>
      <c r="AB61" s="22"/>
    </row>
    <row r="62" spans="1:28">
      <c r="A62" s="35"/>
      <c r="B62" s="27"/>
      <c r="C62" s="38" t="s">
        <v>490</v>
      </c>
      <c r="D62" s="68"/>
      <c r="E62" s="369"/>
      <c r="F62" s="33" t="s">
        <v>10</v>
      </c>
      <c r="G62" s="34">
        <f>K62+O62+S62+W62+AA62</f>
        <v>75277.5</v>
      </c>
      <c r="H62" s="68"/>
      <c r="I62" s="369"/>
      <c r="J62" s="33" t="s">
        <v>10</v>
      </c>
      <c r="K62" s="34">
        <f>SUM(K47:K61)</f>
        <v>28124</v>
      </c>
      <c r="M62" s="369"/>
      <c r="N62" s="33" t="s">
        <v>10</v>
      </c>
      <c r="O62" s="34">
        <f>SUM(O47:O61)</f>
        <v>4368</v>
      </c>
      <c r="Q62" s="369"/>
      <c r="R62" s="33" t="s">
        <v>10</v>
      </c>
      <c r="S62" s="34">
        <f>SUM(S47:S61)</f>
        <v>41591</v>
      </c>
      <c r="U62" s="369"/>
      <c r="V62" s="33" t="s">
        <v>10</v>
      </c>
      <c r="W62" s="34">
        <f>SUM(W47:W61)</f>
        <v>1194.5</v>
      </c>
      <c r="Y62" s="369"/>
      <c r="Z62" s="33" t="s">
        <v>10</v>
      </c>
      <c r="AA62" s="34">
        <f>SUM(AA47:AA61)</f>
        <v>0</v>
      </c>
    </row>
    <row r="63" spans="1:28">
      <c r="A63" s="14"/>
      <c r="B63" s="31"/>
      <c r="C63" s="28"/>
      <c r="D63" s="67"/>
      <c r="E63" s="67"/>
      <c r="F63" s="32"/>
      <c r="G63" s="32"/>
      <c r="H63" s="67"/>
      <c r="I63" s="67"/>
      <c r="J63" s="32"/>
      <c r="K63" s="32"/>
      <c r="M63" s="67"/>
      <c r="N63" s="32"/>
      <c r="O63" s="32"/>
      <c r="Q63" s="67"/>
      <c r="R63" s="32"/>
      <c r="S63" s="32"/>
      <c r="U63" s="67"/>
      <c r="V63" s="32"/>
      <c r="W63" s="32"/>
      <c r="Y63" s="67"/>
      <c r="Z63" s="32"/>
      <c r="AA63" s="32"/>
      <c r="AB63" s="22"/>
    </row>
    <row r="64" spans="1:28">
      <c r="A64" s="14"/>
      <c r="B64" s="31"/>
      <c r="C64" s="28"/>
      <c r="D64" s="67"/>
      <c r="E64" s="67"/>
      <c r="F64" s="32"/>
      <c r="G64" s="32"/>
      <c r="H64" s="67"/>
      <c r="I64" s="67"/>
      <c r="J64" s="32"/>
      <c r="K64" s="32"/>
      <c r="M64" s="67"/>
      <c r="N64" s="32"/>
      <c r="O64" s="32"/>
      <c r="Q64" s="67"/>
      <c r="R64" s="32"/>
      <c r="S64" s="32"/>
      <c r="U64" s="67"/>
      <c r="V64" s="32"/>
      <c r="W64" s="32"/>
      <c r="Y64" s="67"/>
      <c r="Z64" s="32"/>
      <c r="AA64" s="32"/>
      <c r="AB64" s="22"/>
    </row>
    <row r="65" spans="1:28">
      <c r="A65" s="61"/>
      <c r="B65" s="62" t="s">
        <v>83</v>
      </c>
      <c r="C65" s="63" t="s">
        <v>491</v>
      </c>
      <c r="D65" s="64"/>
      <c r="E65" s="366"/>
      <c r="F65" s="66"/>
      <c r="G65" s="66"/>
      <c r="H65" s="64"/>
      <c r="I65" s="366"/>
      <c r="J65" s="66"/>
      <c r="K65" s="66"/>
      <c r="L65" s="26"/>
      <c r="M65" s="366"/>
      <c r="N65" s="66"/>
      <c r="O65" s="66"/>
      <c r="P65" s="26"/>
      <c r="Q65" s="366"/>
      <c r="R65" s="66"/>
      <c r="S65" s="66"/>
      <c r="T65" s="26"/>
      <c r="U65" s="366"/>
      <c r="V65" s="66"/>
      <c r="W65" s="66"/>
      <c r="X65" s="26"/>
      <c r="Y65" s="366"/>
      <c r="Z65" s="66"/>
      <c r="AA65" s="66"/>
    </row>
    <row r="66" spans="1:28">
      <c r="A66" s="14"/>
      <c r="B66" s="31"/>
      <c r="C66" s="28" t="s">
        <v>493</v>
      </c>
      <c r="D66" s="67" t="s">
        <v>70</v>
      </c>
      <c r="E66" s="29">
        <f t="shared" ref="E66:E77" si="57">Q66+I66+M66+U66+Y66</f>
        <v>1</v>
      </c>
      <c r="F66" s="32">
        <v>750</v>
      </c>
      <c r="G66" s="32">
        <f t="shared" ref="G66:G77" si="58">K66+O66+S66+W66+AA66</f>
        <v>750</v>
      </c>
      <c r="H66" s="67"/>
      <c r="I66" s="67"/>
      <c r="J66" s="32">
        <f t="shared" ref="J66:J77" si="59">$F66</f>
        <v>750</v>
      </c>
      <c r="K66" s="32">
        <f t="shared" ref="K66:K77" si="60">I66*J66</f>
        <v>0</v>
      </c>
      <c r="M66" s="67"/>
      <c r="N66" s="32">
        <f t="shared" ref="N66:N77" si="61">$F66</f>
        <v>750</v>
      </c>
      <c r="O66" s="32">
        <f t="shared" ref="O66:O77" si="62">M66*N66</f>
        <v>0</v>
      </c>
      <c r="Q66" s="67">
        <v>1</v>
      </c>
      <c r="R66" s="32">
        <f t="shared" ref="R66:R77" si="63">$F66</f>
        <v>750</v>
      </c>
      <c r="S66" s="32">
        <f t="shared" ref="S66:S77" si="64">Q66*R66</f>
        <v>750</v>
      </c>
      <c r="U66" s="67"/>
      <c r="V66" s="32">
        <f t="shared" ref="V66:V77" si="65">$F66</f>
        <v>750</v>
      </c>
      <c r="W66" s="32">
        <f t="shared" ref="W66:W77" si="66">U66*V66</f>
        <v>0</v>
      </c>
      <c r="Y66" s="67"/>
      <c r="Z66" s="32">
        <f t="shared" ref="Z66:Z77" si="67">$F66</f>
        <v>750</v>
      </c>
      <c r="AA66" s="32">
        <f t="shared" ref="AA66:AA77" si="68">Y66*Z66</f>
        <v>0</v>
      </c>
      <c r="AB66" s="22"/>
    </row>
    <row r="67" spans="1:28">
      <c r="A67" s="14"/>
      <c r="B67" s="31"/>
      <c r="C67" s="28" t="s">
        <v>494</v>
      </c>
      <c r="D67" s="67" t="s">
        <v>69</v>
      </c>
      <c r="E67" s="29">
        <f t="shared" si="57"/>
        <v>2</v>
      </c>
      <c r="F67" s="32">
        <v>1375</v>
      </c>
      <c r="G67" s="32">
        <f t="shared" si="58"/>
        <v>2750</v>
      </c>
      <c r="H67" s="67"/>
      <c r="I67" s="67"/>
      <c r="J67" s="32">
        <f t="shared" si="59"/>
        <v>1375</v>
      </c>
      <c r="K67" s="32">
        <f t="shared" si="60"/>
        <v>0</v>
      </c>
      <c r="M67" s="67"/>
      <c r="N67" s="32">
        <f t="shared" si="61"/>
        <v>1375</v>
      </c>
      <c r="O67" s="32">
        <f t="shared" si="62"/>
        <v>0</v>
      </c>
      <c r="Q67" s="67">
        <v>2</v>
      </c>
      <c r="R67" s="32">
        <f t="shared" si="63"/>
        <v>1375</v>
      </c>
      <c r="S67" s="32">
        <f t="shared" si="64"/>
        <v>2750</v>
      </c>
      <c r="U67" s="67"/>
      <c r="V67" s="32">
        <f t="shared" si="65"/>
        <v>1375</v>
      </c>
      <c r="W67" s="32">
        <f t="shared" si="66"/>
        <v>0</v>
      </c>
      <c r="Y67" s="67"/>
      <c r="Z67" s="32">
        <f t="shared" si="67"/>
        <v>1375</v>
      </c>
      <c r="AA67" s="32">
        <f t="shared" si="68"/>
        <v>0</v>
      </c>
      <c r="AB67" s="22"/>
    </row>
    <row r="68" spans="1:28">
      <c r="A68" s="14"/>
      <c r="B68" s="31"/>
      <c r="C68" s="28" t="s">
        <v>495</v>
      </c>
      <c r="D68" s="67" t="s">
        <v>70</v>
      </c>
      <c r="E68" s="29">
        <f t="shared" si="57"/>
        <v>22</v>
      </c>
      <c r="F68" s="32">
        <f>220*1.2</f>
        <v>264</v>
      </c>
      <c r="G68" s="32">
        <f t="shared" si="58"/>
        <v>5808</v>
      </c>
      <c r="H68" s="67"/>
      <c r="I68" s="67"/>
      <c r="J68" s="32">
        <f t="shared" si="59"/>
        <v>264</v>
      </c>
      <c r="K68" s="32">
        <f t="shared" si="60"/>
        <v>0</v>
      </c>
      <c r="M68" s="67"/>
      <c r="N68" s="32">
        <f t="shared" si="61"/>
        <v>264</v>
      </c>
      <c r="O68" s="32">
        <f t="shared" si="62"/>
        <v>0</v>
      </c>
      <c r="Q68" s="67"/>
      <c r="R68" s="32">
        <f t="shared" si="63"/>
        <v>264</v>
      </c>
      <c r="S68" s="32">
        <f t="shared" si="64"/>
        <v>0</v>
      </c>
      <c r="U68" s="67">
        <v>22</v>
      </c>
      <c r="V68" s="32">
        <f t="shared" si="65"/>
        <v>264</v>
      </c>
      <c r="W68" s="32">
        <f t="shared" si="66"/>
        <v>5808</v>
      </c>
      <c r="Y68" s="67"/>
      <c r="Z68" s="32">
        <f t="shared" si="67"/>
        <v>264</v>
      </c>
      <c r="AA68" s="32">
        <f t="shared" si="68"/>
        <v>0</v>
      </c>
      <c r="AB68" s="22"/>
    </row>
    <row r="69" spans="1:28">
      <c r="A69" s="14"/>
      <c r="B69" s="31"/>
      <c r="C69" s="28" t="s">
        <v>498</v>
      </c>
      <c r="D69" s="67" t="s">
        <v>69</v>
      </c>
      <c r="E69" s="29">
        <f t="shared" si="57"/>
        <v>1</v>
      </c>
      <c r="F69" s="32">
        <f>1100*1.2</f>
        <v>1320</v>
      </c>
      <c r="G69" s="32">
        <f t="shared" si="58"/>
        <v>1320</v>
      </c>
      <c r="H69" s="67"/>
      <c r="I69" s="67"/>
      <c r="J69" s="32">
        <f t="shared" si="59"/>
        <v>1320</v>
      </c>
      <c r="K69" s="32">
        <f t="shared" si="60"/>
        <v>0</v>
      </c>
      <c r="M69" s="67"/>
      <c r="N69" s="32">
        <f t="shared" si="61"/>
        <v>1320</v>
      </c>
      <c r="O69" s="32">
        <f t="shared" si="62"/>
        <v>0</v>
      </c>
      <c r="Q69" s="67"/>
      <c r="R69" s="32">
        <f t="shared" si="63"/>
        <v>1320</v>
      </c>
      <c r="S69" s="32">
        <f t="shared" si="64"/>
        <v>0</v>
      </c>
      <c r="U69" s="67">
        <v>1</v>
      </c>
      <c r="V69" s="32">
        <f t="shared" si="65"/>
        <v>1320</v>
      </c>
      <c r="W69" s="32">
        <f t="shared" si="66"/>
        <v>1320</v>
      </c>
      <c r="Y69" s="67"/>
      <c r="Z69" s="32">
        <f t="shared" si="67"/>
        <v>1320</v>
      </c>
      <c r="AA69" s="32">
        <f t="shared" si="68"/>
        <v>0</v>
      </c>
      <c r="AB69" s="22"/>
    </row>
    <row r="70" spans="1:28">
      <c r="A70" s="14"/>
      <c r="B70" s="31"/>
      <c r="C70" s="28" t="s">
        <v>607</v>
      </c>
      <c r="D70" s="67" t="s">
        <v>69</v>
      </c>
      <c r="E70" s="29">
        <f t="shared" si="57"/>
        <v>1</v>
      </c>
      <c r="F70" s="32">
        <v>4580</v>
      </c>
      <c r="G70" s="32">
        <f t="shared" si="58"/>
        <v>4580</v>
      </c>
      <c r="H70" s="67"/>
      <c r="I70" s="67"/>
      <c r="J70" s="32">
        <f t="shared" si="59"/>
        <v>4580</v>
      </c>
      <c r="K70" s="32">
        <f t="shared" si="60"/>
        <v>0</v>
      </c>
      <c r="M70" s="67"/>
      <c r="N70" s="32">
        <f t="shared" si="61"/>
        <v>4580</v>
      </c>
      <c r="O70" s="32">
        <f t="shared" si="62"/>
        <v>0</v>
      </c>
      <c r="Q70" s="67">
        <v>1</v>
      </c>
      <c r="R70" s="32">
        <f t="shared" si="63"/>
        <v>4580</v>
      </c>
      <c r="S70" s="32">
        <f t="shared" si="64"/>
        <v>4580</v>
      </c>
      <c r="U70" s="67"/>
      <c r="V70" s="32">
        <f t="shared" si="65"/>
        <v>4580</v>
      </c>
      <c r="W70" s="32">
        <f t="shared" si="66"/>
        <v>0</v>
      </c>
      <c r="Y70" s="67"/>
      <c r="Z70" s="32">
        <f t="shared" si="67"/>
        <v>4580</v>
      </c>
      <c r="AA70" s="32">
        <f t="shared" si="68"/>
        <v>0</v>
      </c>
      <c r="AB70" s="22"/>
    </row>
    <row r="71" spans="1:28">
      <c r="A71" s="14"/>
      <c r="B71" s="31"/>
      <c r="C71" s="28" t="s">
        <v>655</v>
      </c>
      <c r="D71" s="67" t="s">
        <v>69</v>
      </c>
      <c r="E71" s="29">
        <f t="shared" si="57"/>
        <v>1</v>
      </c>
      <c r="F71" s="32">
        <f>500*1.12</f>
        <v>560</v>
      </c>
      <c r="G71" s="32">
        <f t="shared" si="58"/>
        <v>560</v>
      </c>
      <c r="H71" s="67"/>
      <c r="I71" s="67"/>
      <c r="J71" s="32">
        <f t="shared" si="59"/>
        <v>560</v>
      </c>
      <c r="K71" s="32">
        <f t="shared" si="60"/>
        <v>0</v>
      </c>
      <c r="M71" s="67"/>
      <c r="N71" s="32">
        <f t="shared" si="61"/>
        <v>560</v>
      </c>
      <c r="O71" s="32">
        <f t="shared" si="62"/>
        <v>0</v>
      </c>
      <c r="Q71" s="67">
        <v>1</v>
      </c>
      <c r="R71" s="32">
        <f t="shared" si="63"/>
        <v>560</v>
      </c>
      <c r="S71" s="32">
        <f t="shared" si="64"/>
        <v>560</v>
      </c>
      <c r="U71" s="67"/>
      <c r="V71" s="32">
        <f t="shared" si="65"/>
        <v>560</v>
      </c>
      <c r="W71" s="32">
        <f t="shared" si="66"/>
        <v>0</v>
      </c>
      <c r="Y71" s="67"/>
      <c r="Z71" s="32">
        <f t="shared" si="67"/>
        <v>560</v>
      </c>
      <c r="AA71" s="32">
        <f t="shared" si="68"/>
        <v>0</v>
      </c>
      <c r="AB71" s="22"/>
    </row>
    <row r="72" spans="1:28">
      <c r="A72" s="14"/>
      <c r="B72" s="31"/>
      <c r="C72" s="28" t="s">
        <v>496</v>
      </c>
      <c r="D72" s="67" t="s">
        <v>6</v>
      </c>
      <c r="E72" s="29">
        <f t="shared" si="57"/>
        <v>2</v>
      </c>
      <c r="F72" s="32">
        <v>314</v>
      </c>
      <c r="G72" s="32">
        <f t="shared" si="58"/>
        <v>628</v>
      </c>
      <c r="H72" s="67"/>
      <c r="I72" s="67">
        <v>1</v>
      </c>
      <c r="J72" s="32">
        <f t="shared" si="59"/>
        <v>314</v>
      </c>
      <c r="K72" s="32">
        <f t="shared" si="60"/>
        <v>314</v>
      </c>
      <c r="M72" s="67"/>
      <c r="N72" s="32">
        <f t="shared" si="61"/>
        <v>314</v>
      </c>
      <c r="O72" s="32">
        <f t="shared" si="62"/>
        <v>0</v>
      </c>
      <c r="Q72" s="67">
        <v>1</v>
      </c>
      <c r="R72" s="32">
        <f t="shared" si="63"/>
        <v>314</v>
      </c>
      <c r="S72" s="32">
        <f t="shared" si="64"/>
        <v>314</v>
      </c>
      <c r="U72" s="67"/>
      <c r="V72" s="32">
        <f t="shared" si="65"/>
        <v>314</v>
      </c>
      <c r="W72" s="32">
        <f t="shared" si="66"/>
        <v>0</v>
      </c>
      <c r="Y72" s="67"/>
      <c r="Z72" s="32">
        <f t="shared" si="67"/>
        <v>314</v>
      </c>
      <c r="AA72" s="32">
        <f t="shared" si="68"/>
        <v>0</v>
      </c>
      <c r="AB72" s="22"/>
    </row>
    <row r="73" spans="1:28">
      <c r="A73" s="14"/>
      <c r="B73" s="31"/>
      <c r="C73" s="28" t="s">
        <v>855</v>
      </c>
      <c r="D73" s="67" t="s">
        <v>6</v>
      </c>
      <c r="E73" s="29">
        <f t="shared" si="57"/>
        <v>6</v>
      </c>
      <c r="F73" s="32">
        <v>850</v>
      </c>
      <c r="G73" s="32">
        <f t="shared" si="58"/>
        <v>5100</v>
      </c>
      <c r="H73" s="67"/>
      <c r="I73" s="67"/>
      <c r="J73" s="32">
        <f t="shared" si="59"/>
        <v>850</v>
      </c>
      <c r="K73" s="32">
        <f t="shared" si="60"/>
        <v>0</v>
      </c>
      <c r="M73" s="67"/>
      <c r="N73" s="32">
        <f t="shared" si="61"/>
        <v>850</v>
      </c>
      <c r="O73" s="32">
        <f t="shared" si="62"/>
        <v>0</v>
      </c>
      <c r="Q73" s="67">
        <v>6</v>
      </c>
      <c r="R73" s="32">
        <f t="shared" si="63"/>
        <v>850</v>
      </c>
      <c r="S73" s="32">
        <f t="shared" si="64"/>
        <v>5100</v>
      </c>
      <c r="U73" s="67"/>
      <c r="V73" s="32">
        <f t="shared" si="65"/>
        <v>850</v>
      </c>
      <c r="W73" s="32">
        <f t="shared" si="66"/>
        <v>0</v>
      </c>
      <c r="Y73" s="67"/>
      <c r="Z73" s="32">
        <f t="shared" si="67"/>
        <v>850</v>
      </c>
      <c r="AA73" s="32">
        <f t="shared" si="68"/>
        <v>0</v>
      </c>
      <c r="AB73" s="22"/>
    </row>
    <row r="74" spans="1:28">
      <c r="A74" s="14"/>
      <c r="B74" s="31"/>
      <c r="C74" s="28" t="s">
        <v>854</v>
      </c>
      <c r="D74" s="67" t="s">
        <v>6</v>
      </c>
      <c r="E74" s="29">
        <f t="shared" si="57"/>
        <v>2</v>
      </c>
      <c r="F74" s="32">
        <v>1080</v>
      </c>
      <c r="G74" s="32">
        <f t="shared" si="58"/>
        <v>2160</v>
      </c>
      <c r="H74" s="67"/>
      <c r="I74" s="67"/>
      <c r="J74" s="32">
        <f t="shared" si="59"/>
        <v>1080</v>
      </c>
      <c r="K74" s="32">
        <f t="shared" si="60"/>
        <v>0</v>
      </c>
      <c r="M74" s="67"/>
      <c r="N74" s="32">
        <f t="shared" si="61"/>
        <v>1080</v>
      </c>
      <c r="O74" s="32">
        <f t="shared" si="62"/>
        <v>0</v>
      </c>
      <c r="Q74" s="67">
        <v>2</v>
      </c>
      <c r="R74" s="32">
        <f t="shared" si="63"/>
        <v>1080</v>
      </c>
      <c r="S74" s="32">
        <f t="shared" si="64"/>
        <v>2160</v>
      </c>
      <c r="U74" s="67"/>
      <c r="V74" s="32">
        <f t="shared" si="65"/>
        <v>1080</v>
      </c>
      <c r="W74" s="32">
        <f t="shared" si="66"/>
        <v>0</v>
      </c>
      <c r="Y74" s="67"/>
      <c r="Z74" s="32">
        <f t="shared" si="67"/>
        <v>1080</v>
      </c>
      <c r="AA74" s="32">
        <f t="shared" si="68"/>
        <v>0</v>
      </c>
      <c r="AB74" s="22"/>
    </row>
    <row r="75" spans="1:28">
      <c r="A75" s="14"/>
      <c r="B75" s="31"/>
      <c r="C75" s="28" t="s">
        <v>497</v>
      </c>
      <c r="D75" s="67" t="s">
        <v>69</v>
      </c>
      <c r="E75" s="29">
        <f t="shared" si="57"/>
        <v>4</v>
      </c>
      <c r="F75" s="32">
        <v>670</v>
      </c>
      <c r="G75" s="32">
        <f t="shared" si="58"/>
        <v>2680</v>
      </c>
      <c r="H75" s="67"/>
      <c r="I75" s="67"/>
      <c r="J75" s="32">
        <f t="shared" si="59"/>
        <v>670</v>
      </c>
      <c r="K75" s="32">
        <f t="shared" si="60"/>
        <v>0</v>
      </c>
      <c r="M75" s="67">
        <v>4</v>
      </c>
      <c r="N75" s="32">
        <f t="shared" si="61"/>
        <v>670</v>
      </c>
      <c r="O75" s="32">
        <f t="shared" si="62"/>
        <v>2680</v>
      </c>
      <c r="Q75" s="67"/>
      <c r="R75" s="32">
        <f t="shared" si="63"/>
        <v>670</v>
      </c>
      <c r="S75" s="32">
        <f t="shared" si="64"/>
        <v>0</v>
      </c>
      <c r="U75" s="67"/>
      <c r="V75" s="32">
        <f t="shared" si="65"/>
        <v>670</v>
      </c>
      <c r="W75" s="32">
        <f t="shared" si="66"/>
        <v>0</v>
      </c>
      <c r="Y75" s="67"/>
      <c r="Z75" s="32">
        <f t="shared" si="67"/>
        <v>670</v>
      </c>
      <c r="AA75" s="32">
        <f t="shared" si="68"/>
        <v>0</v>
      </c>
      <c r="AB75" s="22"/>
    </row>
    <row r="76" spans="1:28">
      <c r="A76" s="14"/>
      <c r="B76" s="31"/>
      <c r="C76" s="28" t="s">
        <v>798</v>
      </c>
      <c r="D76" s="67" t="s">
        <v>69</v>
      </c>
      <c r="E76" s="29">
        <f t="shared" si="57"/>
        <v>9</v>
      </c>
      <c r="F76" s="32">
        <v>368</v>
      </c>
      <c r="G76" s="32">
        <f t="shared" si="58"/>
        <v>3312</v>
      </c>
      <c r="H76" s="67"/>
      <c r="I76" s="67">
        <v>9</v>
      </c>
      <c r="J76" s="32">
        <f t="shared" si="59"/>
        <v>368</v>
      </c>
      <c r="K76" s="32">
        <f t="shared" si="60"/>
        <v>3312</v>
      </c>
      <c r="M76" s="67"/>
      <c r="N76" s="32">
        <f t="shared" si="61"/>
        <v>368</v>
      </c>
      <c r="O76" s="32">
        <f t="shared" si="62"/>
        <v>0</v>
      </c>
      <c r="Q76" s="67"/>
      <c r="R76" s="32">
        <f t="shared" si="63"/>
        <v>368</v>
      </c>
      <c r="S76" s="32">
        <f t="shared" si="64"/>
        <v>0</v>
      </c>
      <c r="U76" s="67"/>
      <c r="V76" s="32">
        <f t="shared" si="65"/>
        <v>368</v>
      </c>
      <c r="W76" s="32">
        <f t="shared" si="66"/>
        <v>0</v>
      </c>
      <c r="Y76" s="67"/>
      <c r="Z76" s="32">
        <f t="shared" si="67"/>
        <v>368</v>
      </c>
      <c r="AA76" s="32">
        <f t="shared" si="68"/>
        <v>0</v>
      </c>
      <c r="AB76" s="22"/>
    </row>
    <row r="77" spans="1:28">
      <c r="A77" s="14"/>
      <c r="B77" s="31"/>
      <c r="C77" s="28" t="s">
        <v>822</v>
      </c>
      <c r="D77" s="67" t="s">
        <v>69</v>
      </c>
      <c r="E77" s="29">
        <f t="shared" si="57"/>
        <v>2</v>
      </c>
      <c r="F77" s="32">
        <v>107</v>
      </c>
      <c r="G77" s="32">
        <f t="shared" si="58"/>
        <v>214</v>
      </c>
      <c r="H77" s="67"/>
      <c r="I77" s="67">
        <v>2</v>
      </c>
      <c r="J77" s="32">
        <f t="shared" si="59"/>
        <v>107</v>
      </c>
      <c r="K77" s="32">
        <f t="shared" si="60"/>
        <v>214</v>
      </c>
      <c r="M77" s="67"/>
      <c r="N77" s="32">
        <f t="shared" si="61"/>
        <v>107</v>
      </c>
      <c r="O77" s="32">
        <f t="shared" si="62"/>
        <v>0</v>
      </c>
      <c r="Q77" s="67"/>
      <c r="R77" s="32">
        <f t="shared" si="63"/>
        <v>107</v>
      </c>
      <c r="S77" s="32">
        <f t="shared" si="64"/>
        <v>0</v>
      </c>
      <c r="U77" s="67"/>
      <c r="V77" s="32">
        <f t="shared" si="65"/>
        <v>107</v>
      </c>
      <c r="W77" s="32">
        <f t="shared" si="66"/>
        <v>0</v>
      </c>
      <c r="Y77" s="67"/>
      <c r="Z77" s="32">
        <f t="shared" si="67"/>
        <v>107</v>
      </c>
      <c r="AA77" s="32">
        <f t="shared" si="68"/>
        <v>0</v>
      </c>
      <c r="AB77" s="22"/>
    </row>
    <row r="78" spans="1:28">
      <c r="A78" s="14"/>
      <c r="B78" s="31"/>
      <c r="C78" s="28"/>
      <c r="D78" s="67"/>
      <c r="E78" s="67"/>
      <c r="F78" s="32"/>
      <c r="G78" s="32"/>
      <c r="H78" s="67"/>
      <c r="I78" s="67"/>
      <c r="J78" s="32"/>
      <c r="K78" s="32"/>
      <c r="M78" s="67"/>
      <c r="N78" s="32"/>
      <c r="O78" s="32"/>
      <c r="Q78" s="67"/>
      <c r="R78" s="32"/>
      <c r="S78" s="32"/>
      <c r="U78" s="67"/>
      <c r="V78" s="32"/>
      <c r="W78" s="32"/>
      <c r="Y78" s="67"/>
      <c r="Z78" s="32"/>
      <c r="AA78" s="32"/>
      <c r="AB78" s="22"/>
    </row>
    <row r="79" spans="1:28">
      <c r="A79" s="35"/>
      <c r="B79" s="27"/>
      <c r="C79" s="38" t="s">
        <v>492</v>
      </c>
      <c r="D79" s="68"/>
      <c r="E79" s="369"/>
      <c r="F79" s="33" t="s">
        <v>10</v>
      </c>
      <c r="G79" s="34">
        <f>K79+O79+S79+W79+AA79</f>
        <v>29862</v>
      </c>
      <c r="H79" s="68"/>
      <c r="I79" s="369"/>
      <c r="J79" s="33" t="s">
        <v>10</v>
      </c>
      <c r="K79" s="34">
        <f>SUM(K65:K78)</f>
        <v>3840</v>
      </c>
      <c r="M79" s="369"/>
      <c r="N79" s="33" t="s">
        <v>10</v>
      </c>
      <c r="O79" s="34">
        <f>SUM(O65:O78)</f>
        <v>2680</v>
      </c>
      <c r="Q79" s="369"/>
      <c r="R79" s="33" t="s">
        <v>10</v>
      </c>
      <c r="S79" s="34">
        <f>SUM(S65:S78)</f>
        <v>16214</v>
      </c>
      <c r="U79" s="369"/>
      <c r="V79" s="33" t="s">
        <v>10</v>
      </c>
      <c r="W79" s="34">
        <f>SUM(W65:W78)</f>
        <v>7128</v>
      </c>
      <c r="Y79" s="369"/>
      <c r="Z79" s="33" t="s">
        <v>10</v>
      </c>
      <c r="AA79" s="34">
        <f>SUM(AA65:AA78)</f>
        <v>0</v>
      </c>
    </row>
    <row r="80" spans="1:28">
      <c r="A80" s="14"/>
      <c r="B80" s="31"/>
      <c r="C80" s="28"/>
      <c r="D80" s="67"/>
      <c r="E80" s="67"/>
      <c r="F80" s="32"/>
      <c r="G80" s="32"/>
      <c r="H80" s="67"/>
      <c r="I80" s="67"/>
      <c r="J80" s="32"/>
      <c r="K80" s="32"/>
      <c r="M80" s="67"/>
      <c r="N80" s="32"/>
      <c r="O80" s="32"/>
      <c r="Q80" s="67"/>
      <c r="R80" s="32"/>
      <c r="S80" s="32"/>
      <c r="U80" s="67"/>
      <c r="V80" s="32"/>
      <c r="W80" s="32"/>
      <c r="Y80" s="67"/>
      <c r="Z80" s="32"/>
      <c r="AA80" s="32"/>
      <c r="AB80" s="22"/>
    </row>
    <row r="81" spans="1:28">
      <c r="A81" s="14"/>
      <c r="B81" s="31"/>
      <c r="C81" s="28"/>
      <c r="D81" s="67"/>
      <c r="E81" s="67"/>
      <c r="F81" s="32"/>
      <c r="G81" s="32"/>
      <c r="H81" s="67"/>
      <c r="I81" s="67"/>
      <c r="J81" s="32"/>
      <c r="K81" s="32"/>
      <c r="M81" s="67"/>
      <c r="N81" s="32"/>
      <c r="O81" s="32"/>
      <c r="Q81" s="67"/>
      <c r="R81" s="32"/>
      <c r="S81" s="32"/>
      <c r="U81" s="67"/>
      <c r="V81" s="32"/>
      <c r="W81" s="32"/>
      <c r="Y81" s="67"/>
      <c r="Z81" s="32"/>
      <c r="AA81" s="32"/>
      <c r="AB81" s="22"/>
    </row>
    <row r="82" spans="1:28">
      <c r="A82" s="61"/>
      <c r="B82" s="62" t="s">
        <v>84</v>
      </c>
      <c r="C82" s="63" t="s">
        <v>499</v>
      </c>
      <c r="D82" s="64"/>
      <c r="E82" s="366"/>
      <c r="F82" s="66"/>
      <c r="G82" s="66"/>
      <c r="H82" s="64"/>
      <c r="I82" s="366"/>
      <c r="J82" s="66"/>
      <c r="K82" s="66"/>
      <c r="L82" s="26"/>
      <c r="M82" s="366"/>
      <c r="N82" s="66"/>
      <c r="O82" s="66"/>
      <c r="P82" s="26"/>
      <c r="Q82" s="366"/>
      <c r="R82" s="66"/>
      <c r="S82" s="66"/>
      <c r="T82" s="26"/>
      <c r="U82" s="366"/>
      <c r="V82" s="66"/>
      <c r="W82" s="66"/>
      <c r="X82" s="26"/>
      <c r="Y82" s="366"/>
      <c r="Z82" s="66"/>
      <c r="AA82" s="66"/>
    </row>
    <row r="83" spans="1:28">
      <c r="A83" s="14"/>
      <c r="B83" s="31"/>
      <c r="C83" s="28" t="s">
        <v>500</v>
      </c>
      <c r="D83" s="67" t="s">
        <v>6</v>
      </c>
      <c r="E83" s="29">
        <f t="shared" ref="E83:E88" si="69">I83+M83+Q83+U83+Y83</f>
        <v>1</v>
      </c>
      <c r="F83" s="32">
        <v>2200</v>
      </c>
      <c r="G83" s="32">
        <f t="shared" ref="G83:G88" si="70">K83+O83+S83+W83+AA83</f>
        <v>2200</v>
      </c>
      <c r="H83" s="67"/>
      <c r="I83" s="67"/>
      <c r="J83" s="32">
        <f t="shared" ref="J83:J88" si="71">$F83</f>
        <v>2200</v>
      </c>
      <c r="K83" s="32">
        <f t="shared" ref="K83:K88" si="72">I83*J83</f>
        <v>0</v>
      </c>
      <c r="M83" s="67">
        <v>1</v>
      </c>
      <c r="N83" s="32">
        <f t="shared" ref="N83:N88" si="73">$F83</f>
        <v>2200</v>
      </c>
      <c r="O83" s="32">
        <f t="shared" ref="O83:O88" si="74">M83*N83</f>
        <v>2200</v>
      </c>
      <c r="Q83" s="67"/>
      <c r="R83" s="32">
        <f t="shared" ref="R83:R88" si="75">$F83</f>
        <v>2200</v>
      </c>
      <c r="S83" s="32">
        <f t="shared" ref="S83:S88" si="76">Q83*R83</f>
        <v>0</v>
      </c>
      <c r="U83" s="67"/>
      <c r="V83" s="32">
        <f t="shared" ref="V83:V88" si="77">$F83</f>
        <v>2200</v>
      </c>
      <c r="W83" s="32">
        <f t="shared" ref="W83:W88" si="78">U83*V83</f>
        <v>0</v>
      </c>
      <c r="Y83" s="67"/>
      <c r="Z83" s="32">
        <f t="shared" ref="Z83:Z88" si="79">$F83</f>
        <v>2200</v>
      </c>
      <c r="AA83" s="32">
        <f t="shared" ref="AA83:AA88" si="80">Y83*Z83</f>
        <v>0</v>
      </c>
      <c r="AB83" s="22"/>
    </row>
    <row r="84" spans="1:28">
      <c r="A84" s="320"/>
      <c r="B84" s="321"/>
      <c r="C84" s="192" t="s">
        <v>501</v>
      </c>
      <c r="D84" s="197" t="s">
        <v>11</v>
      </c>
      <c r="E84" s="29">
        <f t="shared" si="69"/>
        <v>295</v>
      </c>
      <c r="F84" s="40">
        <v>5.4</v>
      </c>
      <c r="G84" s="40">
        <f t="shared" si="70"/>
        <v>1593</v>
      </c>
      <c r="H84" s="197"/>
      <c r="I84" s="67">
        <v>30</v>
      </c>
      <c r="J84" s="32">
        <f t="shared" si="71"/>
        <v>5.4</v>
      </c>
      <c r="K84" s="32">
        <f t="shared" si="72"/>
        <v>162</v>
      </c>
      <c r="M84" s="67"/>
      <c r="N84" s="32">
        <f t="shared" si="73"/>
        <v>5.4</v>
      </c>
      <c r="O84" s="32">
        <f t="shared" si="74"/>
        <v>0</v>
      </c>
      <c r="Q84" s="67">
        <v>100</v>
      </c>
      <c r="R84" s="32">
        <f t="shared" si="75"/>
        <v>5.4</v>
      </c>
      <c r="S84" s="32">
        <f t="shared" si="76"/>
        <v>540</v>
      </c>
      <c r="U84" s="67">
        <v>65</v>
      </c>
      <c r="V84" s="32">
        <f t="shared" si="77"/>
        <v>5.4</v>
      </c>
      <c r="W84" s="32">
        <f t="shared" si="78"/>
        <v>351</v>
      </c>
      <c r="Y84" s="67">
        <v>100</v>
      </c>
      <c r="Z84" s="32">
        <f t="shared" si="79"/>
        <v>5.4</v>
      </c>
      <c r="AA84" s="32">
        <f t="shared" si="80"/>
        <v>540</v>
      </c>
      <c r="AB84" s="322"/>
    </row>
    <row r="85" spans="1:28">
      <c r="A85" s="320"/>
      <c r="B85" s="321"/>
      <c r="C85" s="192" t="s">
        <v>502</v>
      </c>
      <c r="D85" s="197" t="s">
        <v>6</v>
      </c>
      <c r="E85" s="29">
        <f t="shared" si="69"/>
        <v>4</v>
      </c>
      <c r="F85" s="40">
        <v>435</v>
      </c>
      <c r="G85" s="40">
        <f t="shared" si="70"/>
        <v>1740</v>
      </c>
      <c r="H85" s="197"/>
      <c r="I85" s="67">
        <v>1</v>
      </c>
      <c r="J85" s="32">
        <f t="shared" si="71"/>
        <v>435</v>
      </c>
      <c r="K85" s="32">
        <f t="shared" si="72"/>
        <v>435</v>
      </c>
      <c r="M85" s="67"/>
      <c r="N85" s="32">
        <f t="shared" si="73"/>
        <v>435</v>
      </c>
      <c r="O85" s="32">
        <f t="shared" si="74"/>
        <v>0</v>
      </c>
      <c r="Q85" s="67">
        <v>1</v>
      </c>
      <c r="R85" s="32">
        <f t="shared" si="75"/>
        <v>435</v>
      </c>
      <c r="S85" s="32">
        <f t="shared" si="76"/>
        <v>435</v>
      </c>
      <c r="U85" s="67">
        <v>1</v>
      </c>
      <c r="V85" s="32">
        <f t="shared" si="77"/>
        <v>435</v>
      </c>
      <c r="W85" s="32">
        <f t="shared" si="78"/>
        <v>435</v>
      </c>
      <c r="Y85" s="67">
        <v>1</v>
      </c>
      <c r="Z85" s="32">
        <f t="shared" si="79"/>
        <v>435</v>
      </c>
      <c r="AA85" s="32">
        <f t="shared" si="80"/>
        <v>435</v>
      </c>
      <c r="AB85" s="322"/>
    </row>
    <row r="86" spans="1:28">
      <c r="A86" s="14"/>
      <c r="B86" s="31"/>
      <c r="C86" s="28" t="s">
        <v>656</v>
      </c>
      <c r="D86" s="67" t="s">
        <v>6</v>
      </c>
      <c r="E86" s="29">
        <f t="shared" si="69"/>
        <v>3</v>
      </c>
      <c r="F86" s="32">
        <v>550</v>
      </c>
      <c r="G86" s="32">
        <f t="shared" si="70"/>
        <v>1650</v>
      </c>
      <c r="H86" s="67"/>
      <c r="I86" s="67">
        <v>1</v>
      </c>
      <c r="J86" s="32">
        <f t="shared" si="71"/>
        <v>550</v>
      </c>
      <c r="K86" s="32">
        <f t="shared" si="72"/>
        <v>550</v>
      </c>
      <c r="M86" s="67">
        <v>1</v>
      </c>
      <c r="N86" s="32">
        <f t="shared" si="73"/>
        <v>550</v>
      </c>
      <c r="O86" s="32">
        <f t="shared" si="74"/>
        <v>550</v>
      </c>
      <c r="Q86" s="67">
        <v>1</v>
      </c>
      <c r="R86" s="32">
        <f t="shared" si="75"/>
        <v>550</v>
      </c>
      <c r="S86" s="32">
        <f t="shared" si="76"/>
        <v>550</v>
      </c>
      <c r="U86" s="67"/>
      <c r="V86" s="32">
        <f t="shared" si="77"/>
        <v>550</v>
      </c>
      <c r="W86" s="32">
        <f t="shared" si="78"/>
        <v>0</v>
      </c>
      <c r="Y86" s="67"/>
      <c r="Z86" s="32">
        <f t="shared" si="79"/>
        <v>550</v>
      </c>
      <c r="AA86" s="32">
        <f t="shared" si="80"/>
        <v>0</v>
      </c>
      <c r="AB86" s="22"/>
    </row>
    <row r="87" spans="1:28">
      <c r="A87" s="14"/>
      <c r="B87" s="31"/>
      <c r="C87" s="28" t="s">
        <v>851</v>
      </c>
      <c r="D87" s="67" t="s">
        <v>6</v>
      </c>
      <c r="E87" s="29">
        <f t="shared" si="69"/>
        <v>1</v>
      </c>
      <c r="F87" s="32">
        <f>F86</f>
        <v>550</v>
      </c>
      <c r="G87" s="32">
        <f t="shared" si="70"/>
        <v>550</v>
      </c>
      <c r="H87" s="67"/>
      <c r="I87" s="67"/>
      <c r="J87" s="32">
        <f t="shared" si="71"/>
        <v>550</v>
      </c>
      <c r="K87" s="32">
        <f t="shared" si="72"/>
        <v>0</v>
      </c>
      <c r="M87" s="67"/>
      <c r="N87" s="32">
        <f t="shared" si="73"/>
        <v>550</v>
      </c>
      <c r="O87" s="32">
        <f t="shared" si="74"/>
        <v>0</v>
      </c>
      <c r="Q87" s="67"/>
      <c r="R87" s="32">
        <f t="shared" si="75"/>
        <v>550</v>
      </c>
      <c r="S87" s="32">
        <f t="shared" si="76"/>
        <v>0</v>
      </c>
      <c r="U87" s="67">
        <v>1</v>
      </c>
      <c r="V87" s="32">
        <f t="shared" si="77"/>
        <v>550</v>
      </c>
      <c r="W87" s="32">
        <f t="shared" si="78"/>
        <v>550</v>
      </c>
      <c r="Y87" s="67"/>
      <c r="Z87" s="32">
        <f t="shared" si="79"/>
        <v>550</v>
      </c>
      <c r="AA87" s="32">
        <f t="shared" si="80"/>
        <v>0</v>
      </c>
      <c r="AB87" s="22"/>
    </row>
    <row r="88" spans="1:28">
      <c r="A88" s="14"/>
      <c r="B88" s="31"/>
      <c r="C88" s="28" t="s">
        <v>503</v>
      </c>
      <c r="D88" s="67" t="s">
        <v>69</v>
      </c>
      <c r="E88" s="29">
        <f t="shared" si="69"/>
        <v>4</v>
      </c>
      <c r="F88" s="32">
        <v>530</v>
      </c>
      <c r="G88" s="32">
        <f t="shared" si="70"/>
        <v>2120</v>
      </c>
      <c r="H88" s="67"/>
      <c r="I88" s="67"/>
      <c r="J88" s="32">
        <f t="shared" si="71"/>
        <v>530</v>
      </c>
      <c r="K88" s="32">
        <f t="shared" si="72"/>
        <v>0</v>
      </c>
      <c r="M88" s="67">
        <v>4</v>
      </c>
      <c r="N88" s="32">
        <f t="shared" si="73"/>
        <v>530</v>
      </c>
      <c r="O88" s="32">
        <f t="shared" si="74"/>
        <v>2120</v>
      </c>
      <c r="Q88" s="67"/>
      <c r="R88" s="32">
        <f t="shared" si="75"/>
        <v>530</v>
      </c>
      <c r="S88" s="32">
        <f t="shared" si="76"/>
        <v>0</v>
      </c>
      <c r="U88" s="67"/>
      <c r="V88" s="32">
        <f t="shared" si="77"/>
        <v>530</v>
      </c>
      <c r="W88" s="32">
        <f t="shared" si="78"/>
        <v>0</v>
      </c>
      <c r="Y88" s="67"/>
      <c r="Z88" s="32">
        <f t="shared" si="79"/>
        <v>530</v>
      </c>
      <c r="AA88" s="32">
        <f t="shared" si="80"/>
        <v>0</v>
      </c>
      <c r="AB88" s="22"/>
    </row>
    <row r="89" spans="1:28">
      <c r="A89" s="14"/>
      <c r="B89" s="31"/>
      <c r="C89" s="28"/>
      <c r="D89" s="67"/>
      <c r="E89" s="67"/>
      <c r="F89" s="32"/>
      <c r="G89" s="32"/>
      <c r="H89" s="67"/>
      <c r="I89" s="67"/>
      <c r="J89" s="32"/>
      <c r="K89" s="32"/>
      <c r="M89" s="67"/>
      <c r="N89" s="32"/>
      <c r="O89" s="32"/>
      <c r="Q89" s="67"/>
      <c r="R89" s="32"/>
      <c r="S89" s="32"/>
      <c r="U89" s="67"/>
      <c r="V89" s="32"/>
      <c r="W89" s="32"/>
      <c r="Y89" s="67"/>
      <c r="Z89" s="32"/>
      <c r="AA89" s="32"/>
      <c r="AB89" s="22"/>
    </row>
    <row r="90" spans="1:28">
      <c r="A90" s="35"/>
      <c r="B90" s="27"/>
      <c r="C90" s="38" t="s">
        <v>492</v>
      </c>
      <c r="D90" s="68"/>
      <c r="E90" s="369"/>
      <c r="F90" s="33" t="s">
        <v>10</v>
      </c>
      <c r="G90" s="34">
        <f>K90+O90+S90+W90+AA90</f>
        <v>9853</v>
      </c>
      <c r="H90" s="68"/>
      <c r="I90" s="369"/>
      <c r="J90" s="33" t="s">
        <v>10</v>
      </c>
      <c r="K90" s="34">
        <f>SUM(K82:K89)</f>
        <v>1147</v>
      </c>
      <c r="M90" s="369"/>
      <c r="N90" s="33" t="s">
        <v>10</v>
      </c>
      <c r="O90" s="34">
        <f>SUM(O82:O89)</f>
        <v>4870</v>
      </c>
      <c r="Q90" s="369"/>
      <c r="R90" s="33" t="s">
        <v>10</v>
      </c>
      <c r="S90" s="34">
        <f>SUM(S82:S89)</f>
        <v>1525</v>
      </c>
      <c r="U90" s="369"/>
      <c r="V90" s="33" t="s">
        <v>10</v>
      </c>
      <c r="W90" s="34">
        <f>SUM(W82:W89)</f>
        <v>1336</v>
      </c>
      <c r="Y90" s="369"/>
      <c r="Z90" s="33" t="s">
        <v>10</v>
      </c>
      <c r="AA90" s="34">
        <f>SUM(AA82:AA89)</f>
        <v>975</v>
      </c>
    </row>
    <row r="91" spans="1:28">
      <c r="A91" s="14"/>
      <c r="B91" s="31"/>
      <c r="C91" s="28"/>
      <c r="D91" s="67"/>
      <c r="E91" s="29"/>
      <c r="F91" s="32"/>
      <c r="G91" s="32"/>
      <c r="H91" s="67"/>
      <c r="I91" s="29"/>
      <c r="J91" s="32"/>
      <c r="K91" s="32"/>
      <c r="M91" s="29"/>
      <c r="N91" s="32"/>
      <c r="O91" s="32"/>
      <c r="Q91" s="29"/>
      <c r="R91" s="32"/>
      <c r="S91" s="32"/>
      <c r="U91" s="29"/>
      <c r="V91" s="32"/>
      <c r="W91" s="32"/>
      <c r="Y91" s="29"/>
      <c r="Z91" s="32"/>
      <c r="AA91" s="32"/>
      <c r="AB91" s="22"/>
    </row>
    <row r="92" spans="1:28">
      <c r="A92" s="14"/>
      <c r="B92" s="31"/>
      <c r="C92" s="28"/>
      <c r="D92" s="67"/>
      <c r="E92" s="29"/>
      <c r="F92" s="32"/>
      <c r="G92" s="32"/>
      <c r="H92" s="67"/>
      <c r="I92" s="29"/>
      <c r="J92" s="32"/>
      <c r="K92" s="32"/>
      <c r="M92" s="29"/>
      <c r="N92" s="32"/>
      <c r="O92" s="32"/>
      <c r="Q92" s="29"/>
      <c r="R92" s="32"/>
      <c r="S92" s="32"/>
      <c r="U92" s="29"/>
      <c r="V92" s="32"/>
      <c r="W92" s="32"/>
      <c r="Y92" s="29"/>
      <c r="Z92" s="32"/>
      <c r="AA92" s="32"/>
      <c r="AB92" s="22"/>
    </row>
    <row r="93" spans="1:28">
      <c r="A93" s="14"/>
      <c r="B93" s="31"/>
      <c r="C93" s="38"/>
      <c r="D93" s="69"/>
      <c r="E93" s="37"/>
      <c r="F93" s="30"/>
      <c r="G93" s="34"/>
      <c r="H93" s="69"/>
      <c r="I93" s="37"/>
      <c r="J93" s="30"/>
      <c r="K93" s="34"/>
      <c r="M93" s="37"/>
      <c r="N93" s="30"/>
      <c r="O93" s="34"/>
      <c r="Q93" s="37"/>
      <c r="R93" s="30"/>
      <c r="S93" s="34"/>
      <c r="U93" s="37"/>
      <c r="V93" s="30"/>
      <c r="W93" s="34"/>
      <c r="Y93" s="37"/>
      <c r="Z93" s="30"/>
      <c r="AA93" s="34"/>
    </row>
    <row r="94" spans="1:28" ht="6" customHeight="1">
      <c r="A94" s="70"/>
      <c r="B94" s="41"/>
      <c r="C94" s="42"/>
      <c r="D94" s="41"/>
      <c r="E94" s="41"/>
      <c r="F94" s="44"/>
      <c r="G94" s="44"/>
      <c r="H94" s="41"/>
      <c r="I94" s="43"/>
      <c r="J94" s="44"/>
      <c r="K94" s="44"/>
      <c r="L94" s="41"/>
      <c r="M94" s="43"/>
      <c r="N94" s="44"/>
      <c r="O94" s="44"/>
      <c r="P94" s="41"/>
      <c r="Q94" s="43"/>
      <c r="R94" s="44"/>
      <c r="S94" s="44"/>
      <c r="T94" s="41"/>
      <c r="U94" s="43"/>
      <c r="V94" s="44"/>
      <c r="W94" s="44"/>
      <c r="X94" s="41"/>
      <c r="Y94" s="43"/>
      <c r="Z94" s="44"/>
      <c r="AA94" s="44"/>
    </row>
    <row r="95" spans="1:28" s="56" customFormat="1">
      <c r="A95" s="71"/>
      <c r="B95" s="72"/>
      <c r="C95" s="53" t="s">
        <v>7</v>
      </c>
      <c r="D95" s="52"/>
      <c r="E95" s="52"/>
      <c r="F95" s="55"/>
      <c r="G95" s="55">
        <f>G44+G25+G13+G62+G79+G90</f>
        <v>277999.09999999998</v>
      </c>
      <c r="H95" s="52"/>
      <c r="I95" s="54"/>
      <c r="J95" s="55"/>
      <c r="K95" s="55">
        <f>K44+K25+K13+K62+K79+K90</f>
        <v>86075.599999999991</v>
      </c>
      <c r="L95" s="52"/>
      <c r="M95" s="54"/>
      <c r="N95" s="55"/>
      <c r="O95" s="55">
        <f>O44+O25+O13+O62+O79+O90</f>
        <v>33076.5</v>
      </c>
      <c r="P95" s="52"/>
      <c r="Q95" s="54"/>
      <c r="R95" s="55"/>
      <c r="S95" s="55">
        <f>S44+S25+S13+S62+S79+S90</f>
        <v>106322.70000000001</v>
      </c>
      <c r="T95" s="52"/>
      <c r="U95" s="54"/>
      <c r="V95" s="55"/>
      <c r="W95" s="55">
        <f>W44+W25+W13+W62+W79+W90</f>
        <v>50839.3</v>
      </c>
      <c r="X95" s="52"/>
      <c r="Y95" s="54"/>
      <c r="Z95" s="55"/>
      <c r="AA95" s="55">
        <f>AA44+AA25+AA13+AA62+AA79+AA90</f>
        <v>1685</v>
      </c>
    </row>
    <row r="96" spans="1:28" s="56" customFormat="1">
      <c r="A96" s="71"/>
      <c r="B96" s="72"/>
      <c r="C96" s="53" t="s">
        <v>8</v>
      </c>
      <c r="D96" s="52"/>
      <c r="E96" s="52"/>
      <c r="F96" s="55"/>
      <c r="G96" s="55">
        <f>G95*0.2</f>
        <v>55599.82</v>
      </c>
      <c r="H96" s="52"/>
      <c r="I96" s="54"/>
      <c r="J96" s="55"/>
      <c r="K96" s="55">
        <f>K95*0.2</f>
        <v>17215.12</v>
      </c>
      <c r="L96" s="52"/>
      <c r="M96" s="54"/>
      <c r="N96" s="55"/>
      <c r="O96" s="55">
        <f>O95*0.2</f>
        <v>6615.3</v>
      </c>
      <c r="P96" s="52"/>
      <c r="Q96" s="54"/>
      <c r="R96" s="55"/>
      <c r="S96" s="55">
        <f>S95*0.2</f>
        <v>21264.540000000005</v>
      </c>
      <c r="T96" s="52"/>
      <c r="U96" s="54"/>
      <c r="V96" s="55"/>
      <c r="W96" s="55">
        <f>W95*0.2</f>
        <v>10167.86</v>
      </c>
      <c r="X96" s="52"/>
      <c r="Y96" s="54"/>
      <c r="Z96" s="55"/>
      <c r="AA96" s="55">
        <f>AA95*0.2</f>
        <v>337</v>
      </c>
    </row>
    <row r="97" spans="1:27" s="56" customFormat="1">
      <c r="A97" s="71"/>
      <c r="B97" s="72"/>
      <c r="C97" s="53" t="s">
        <v>9</v>
      </c>
      <c r="D97" s="52"/>
      <c r="E97" s="52"/>
      <c r="F97" s="55"/>
      <c r="G97" s="55">
        <f>G96+G95</f>
        <v>333598.92</v>
      </c>
      <c r="H97" s="52"/>
      <c r="I97" s="54"/>
      <c r="J97" s="55"/>
      <c r="K97" s="55">
        <f>K96+K95</f>
        <v>103290.71999999999</v>
      </c>
      <c r="L97" s="52"/>
      <c r="M97" s="54"/>
      <c r="N97" s="55"/>
      <c r="O97" s="55">
        <f>O96+O95</f>
        <v>39691.800000000003</v>
      </c>
      <c r="P97" s="52"/>
      <c r="Q97" s="54"/>
      <c r="R97" s="55"/>
      <c r="S97" s="55">
        <f>S96+S95</f>
        <v>127587.24000000002</v>
      </c>
      <c r="T97" s="52"/>
      <c r="U97" s="54"/>
      <c r="V97" s="55"/>
      <c r="W97" s="55">
        <f>W96+W95</f>
        <v>61007.16</v>
      </c>
      <c r="X97" s="52"/>
      <c r="Y97" s="54"/>
      <c r="Z97" s="55"/>
      <c r="AA97" s="55">
        <f>AA96+AA95</f>
        <v>2022</v>
      </c>
    </row>
    <row r="98" spans="1:27" ht="6.6" customHeight="1">
      <c r="A98" s="73"/>
      <c r="B98" s="74"/>
      <c r="C98" s="45"/>
      <c r="D98" s="46"/>
      <c r="E98" s="51"/>
      <c r="F98" s="48"/>
      <c r="G98" s="48"/>
      <c r="H98" s="46"/>
      <c r="I98" s="47"/>
      <c r="J98" s="48"/>
      <c r="K98" s="48"/>
      <c r="L98" s="49"/>
      <c r="M98" s="50"/>
      <c r="N98" s="48"/>
      <c r="O98" s="48"/>
      <c r="P98" s="49"/>
      <c r="Q98" s="50"/>
      <c r="R98" s="48"/>
      <c r="S98" s="48"/>
      <c r="T98" s="49"/>
      <c r="U98" s="50"/>
      <c r="V98" s="48"/>
      <c r="W98" s="48"/>
      <c r="X98" s="49"/>
      <c r="Y98" s="50"/>
      <c r="Z98" s="48"/>
      <c r="AA98" s="48"/>
    </row>
    <row r="102" spans="1:27">
      <c r="G102" s="207"/>
    </row>
    <row r="103" spans="1:27">
      <c r="G103" s="317"/>
    </row>
    <row r="106" spans="1:27">
      <c r="G106" s="207"/>
    </row>
    <row r="108" spans="1:27">
      <c r="G108" s="207"/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40"/>
  <sheetViews>
    <sheetView showGridLines="0" view="pageBreakPreview" zoomScale="70" zoomScaleNormal="85" zoomScaleSheetLayoutView="70" workbookViewId="0">
      <pane ySplit="5" topLeftCell="A6" activePane="bottomLeft" state="frozen"/>
      <selection activeCell="C15" sqref="C15:I15"/>
      <selection pane="bottomLeft" activeCell="D22" sqref="D22:J22"/>
    </sheetView>
  </sheetViews>
  <sheetFormatPr baseColWidth="10" defaultColWidth="11.44140625" defaultRowHeight="14.4"/>
  <cols>
    <col min="1" max="1" width="3.44140625" style="2" customWidth="1"/>
    <col min="2" max="2" width="3.44140625" style="3" bestFit="1" customWidth="1"/>
    <col min="3" max="3" width="55.6640625" style="24" customWidth="1"/>
    <col min="4" max="4" width="4.5546875" style="1" bestFit="1" customWidth="1"/>
    <col min="5" max="5" width="7.88671875" style="1" customWidth="1"/>
    <col min="6" max="6" width="12" style="1" bestFit="1" customWidth="1"/>
    <col min="7" max="7" width="14.5546875" style="1" bestFit="1" customWidth="1"/>
    <col min="8" max="8" width="2.6640625" style="1" customWidth="1"/>
    <col min="9" max="9" width="7.5546875" style="1" bestFit="1" customWidth="1"/>
    <col min="10" max="10" width="12" style="1" bestFit="1" customWidth="1"/>
    <col min="11" max="11" width="14.5546875" style="1" customWidth="1"/>
    <col min="12" max="12" width="2.6640625" style="1" customWidth="1"/>
    <col min="13" max="13" width="7.5546875" style="1" bestFit="1" customWidth="1"/>
    <col min="14" max="14" width="12" style="1" bestFit="1" customWidth="1"/>
    <col min="15" max="15" width="14.44140625" style="1" bestFit="1" customWidth="1"/>
    <col min="16" max="16" width="2.6640625" style="1" customWidth="1"/>
    <col min="17" max="17" width="7.5546875" style="1" bestFit="1" customWidth="1"/>
    <col min="18" max="18" width="12" style="1" bestFit="1" customWidth="1"/>
    <col min="19" max="19" width="14.44140625" style="1" bestFit="1" customWidth="1"/>
    <col min="20" max="20" width="2.6640625" style="1" customWidth="1"/>
    <col min="21" max="21" width="7.5546875" style="1" bestFit="1" customWidth="1"/>
    <col min="22" max="22" width="12" style="1" bestFit="1" customWidth="1"/>
    <col min="23" max="23" width="14.44140625" style="1" bestFit="1" customWidth="1"/>
    <col min="24" max="24" width="2.6640625" style="1" customWidth="1"/>
    <col min="25" max="25" width="7.5546875" style="1" bestFit="1" customWidth="1"/>
    <col min="26" max="26" width="12" style="1" bestFit="1" customWidth="1"/>
    <col min="27" max="27" width="14.44140625" style="1" bestFit="1" customWidth="1"/>
    <col min="28" max="28" width="14.5546875" style="1" bestFit="1" customWidth="1"/>
    <col min="29" max="29" width="12.109375" style="1" bestFit="1" customWidth="1"/>
    <col min="30" max="30" width="11.44140625" style="1"/>
    <col min="31" max="31" width="15" style="1" customWidth="1"/>
    <col min="32" max="16384" width="11.44140625" style="1"/>
  </cols>
  <sheetData>
    <row r="1" spans="1:27" ht="23.25" customHeight="1">
      <c r="A1" s="566" t="s">
        <v>36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8"/>
    </row>
    <row r="2" spans="1:27" ht="8.4" customHeight="1">
      <c r="A2" s="15"/>
      <c r="C2" s="3"/>
      <c r="D2" s="3"/>
      <c r="E2" s="3"/>
      <c r="F2" s="3"/>
      <c r="G2" s="2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23"/>
    </row>
    <row r="3" spans="1:27" ht="19.5" customHeight="1">
      <c r="A3" s="16"/>
      <c r="C3" s="203" t="str">
        <f>'Page de garde'!C15</f>
        <v>IND 00 du 10/06/2025</v>
      </c>
      <c r="E3" s="569" t="s">
        <v>12</v>
      </c>
      <c r="F3" s="570"/>
      <c r="G3" s="571"/>
      <c r="I3" s="572" t="s">
        <v>30</v>
      </c>
      <c r="J3" s="573"/>
      <c r="K3" s="574"/>
      <c r="M3" s="572" t="s">
        <v>31</v>
      </c>
      <c r="N3" s="573"/>
      <c r="O3" s="574"/>
      <c r="Q3" s="572" t="s">
        <v>33</v>
      </c>
      <c r="R3" s="573"/>
      <c r="S3" s="574"/>
      <c r="U3" s="572" t="s">
        <v>34</v>
      </c>
      <c r="V3" s="573"/>
      <c r="W3" s="574"/>
      <c r="Y3" s="572" t="s">
        <v>35</v>
      </c>
      <c r="Z3" s="573"/>
      <c r="AA3" s="574"/>
    </row>
    <row r="4" spans="1:27" ht="19.5" customHeight="1">
      <c r="A4" s="16"/>
      <c r="E4" s="76"/>
      <c r="F4" s="77"/>
      <c r="G4" s="78" t="s">
        <v>11</v>
      </c>
      <c r="I4" s="57"/>
      <c r="J4" s="58"/>
      <c r="K4" s="59" t="s">
        <v>11</v>
      </c>
      <c r="M4" s="60"/>
      <c r="N4" s="58"/>
      <c r="O4" s="59" t="s">
        <v>11</v>
      </c>
      <c r="Q4" s="60"/>
      <c r="R4" s="58"/>
      <c r="S4" s="59" t="s">
        <v>11</v>
      </c>
      <c r="U4" s="60"/>
      <c r="V4" s="58"/>
      <c r="W4" s="59" t="s">
        <v>11</v>
      </c>
      <c r="Y4" s="60"/>
      <c r="Z4" s="58"/>
      <c r="AA4" s="59" t="s">
        <v>11</v>
      </c>
    </row>
    <row r="5" spans="1:27" s="17" customFormat="1" ht="24">
      <c r="A5" s="565" t="s">
        <v>1</v>
      </c>
      <c r="B5" s="565"/>
      <c r="C5" s="25" t="s">
        <v>2</v>
      </c>
      <c r="D5" s="18" t="s">
        <v>0</v>
      </c>
      <c r="E5" s="79" t="s">
        <v>3</v>
      </c>
      <c r="F5" s="79" t="s">
        <v>4</v>
      </c>
      <c r="G5" s="79" t="s">
        <v>5</v>
      </c>
      <c r="H5" s="18"/>
      <c r="I5" s="19" t="s">
        <v>3</v>
      </c>
      <c r="J5" s="19" t="s">
        <v>4</v>
      </c>
      <c r="K5" s="19" t="s">
        <v>5</v>
      </c>
      <c r="L5" s="20"/>
      <c r="M5" s="19" t="s">
        <v>3</v>
      </c>
      <c r="N5" s="19" t="s">
        <v>4</v>
      </c>
      <c r="O5" s="19" t="s">
        <v>5</v>
      </c>
      <c r="P5" s="20"/>
      <c r="Q5" s="19" t="s">
        <v>3</v>
      </c>
      <c r="R5" s="19" t="s">
        <v>4</v>
      </c>
      <c r="S5" s="19" t="s">
        <v>5</v>
      </c>
      <c r="T5" s="20"/>
      <c r="U5" s="19" t="s">
        <v>3</v>
      </c>
      <c r="V5" s="19" t="s">
        <v>4</v>
      </c>
      <c r="W5" s="19" t="s">
        <v>5</v>
      </c>
      <c r="X5" s="20"/>
      <c r="Y5" s="19" t="s">
        <v>3</v>
      </c>
      <c r="Z5" s="19" t="s">
        <v>4</v>
      </c>
      <c r="AA5" s="19" t="s">
        <v>5</v>
      </c>
    </row>
    <row r="6" spans="1:27">
      <c r="A6" s="61"/>
      <c r="B6" s="62" t="s">
        <v>20</v>
      </c>
      <c r="C6" s="63" t="s">
        <v>540</v>
      </c>
      <c r="D6" s="64"/>
      <c r="E6" s="65"/>
      <c r="F6" s="66"/>
      <c r="G6" s="66"/>
      <c r="H6" s="64"/>
      <c r="I6" s="65"/>
      <c r="J6" s="66"/>
      <c r="K6" s="66"/>
      <c r="L6" s="26"/>
      <c r="M6" s="65"/>
      <c r="N6" s="66"/>
      <c r="O6" s="66"/>
      <c r="P6" s="26"/>
      <c r="Q6" s="65"/>
      <c r="R6" s="66"/>
      <c r="S6" s="66"/>
      <c r="T6" s="26"/>
      <c r="U6" s="65"/>
      <c r="V6" s="66"/>
      <c r="W6" s="66"/>
      <c r="X6" s="26"/>
      <c r="Y6" s="65"/>
      <c r="Z6" s="66"/>
      <c r="AA6" s="66"/>
    </row>
    <row r="7" spans="1:27">
      <c r="A7" s="342" t="s">
        <v>719</v>
      </c>
      <c r="B7" s="321">
        <v>1</v>
      </c>
      <c r="C7" s="192" t="s">
        <v>720</v>
      </c>
      <c r="D7" s="197" t="s">
        <v>721</v>
      </c>
      <c r="E7" s="343">
        <f t="shared" ref="E7" si="0">I7+M7+Q7+U7+Y7</f>
        <v>1</v>
      </c>
      <c r="F7" s="40"/>
      <c r="G7" s="40">
        <f t="shared" ref="G7" si="1">K7+O7+S7+W7+AA7</f>
        <v>3850</v>
      </c>
      <c r="H7" s="197"/>
      <c r="I7" s="344">
        <f>1/4</f>
        <v>0.25</v>
      </c>
      <c r="J7" s="40">
        <v>3850</v>
      </c>
      <c r="K7" s="40">
        <f t="shared" ref="K7" si="2">I7*J7</f>
        <v>962.5</v>
      </c>
      <c r="M7" s="344">
        <f>1/4</f>
        <v>0.25</v>
      </c>
      <c r="N7" s="40">
        <f>J7</f>
        <v>3850</v>
      </c>
      <c r="O7" s="40">
        <f t="shared" ref="O7" si="3">M7*N7</f>
        <v>962.5</v>
      </c>
      <c r="Q7" s="344">
        <f>1/4</f>
        <v>0.25</v>
      </c>
      <c r="R7" s="40">
        <f>N7</f>
        <v>3850</v>
      </c>
      <c r="S7" s="40">
        <f t="shared" ref="S7" si="4">Q7*R7</f>
        <v>962.5</v>
      </c>
      <c r="U7" s="344">
        <f>1/4</f>
        <v>0.25</v>
      </c>
      <c r="V7" s="40">
        <f>R7</f>
        <v>3850</v>
      </c>
      <c r="W7" s="40">
        <f t="shared" ref="W7" si="5">U7*V7</f>
        <v>962.5</v>
      </c>
      <c r="Y7" s="39"/>
      <c r="Z7" s="40"/>
      <c r="AA7" s="40">
        <f t="shared" ref="AA7:AA16" si="6">Y7*Z7</f>
        <v>0</v>
      </c>
    </row>
    <row r="8" spans="1:27">
      <c r="A8" s="345"/>
      <c r="B8" s="346"/>
      <c r="C8" s="192"/>
      <c r="D8" s="197"/>
      <c r="E8" s="343"/>
      <c r="F8" s="40"/>
      <c r="G8" s="40"/>
      <c r="H8" s="197"/>
      <c r="I8" s="343"/>
      <c r="J8" s="40"/>
      <c r="K8" s="40"/>
      <c r="M8" s="343"/>
      <c r="N8" s="40"/>
      <c r="O8" s="40"/>
      <c r="Q8" s="343"/>
      <c r="R8" s="40"/>
      <c r="S8" s="40"/>
      <c r="U8" s="343"/>
      <c r="V8" s="40"/>
      <c r="W8" s="40"/>
      <c r="Y8" s="39"/>
      <c r="Z8" s="40"/>
      <c r="AA8" s="40"/>
    </row>
    <row r="9" spans="1:27">
      <c r="A9" s="342" t="s">
        <v>719</v>
      </c>
      <c r="B9" s="321">
        <v>2</v>
      </c>
      <c r="C9" s="192" t="s">
        <v>722</v>
      </c>
      <c r="D9" s="197"/>
      <c r="E9" s="343"/>
      <c r="F9" s="40"/>
      <c r="G9" s="40"/>
      <c r="H9" s="197"/>
      <c r="I9" s="343"/>
      <c r="J9" s="40"/>
      <c r="K9" s="40"/>
      <c r="M9" s="343"/>
      <c r="N9" s="40"/>
      <c r="O9" s="40"/>
      <c r="Q9" s="343"/>
      <c r="R9" s="40"/>
      <c r="S9" s="40"/>
      <c r="U9" s="343"/>
      <c r="V9" s="40"/>
      <c r="W9" s="40"/>
      <c r="Y9" s="39"/>
      <c r="Z9" s="40"/>
      <c r="AA9" s="40"/>
    </row>
    <row r="10" spans="1:27">
      <c r="A10" s="345"/>
      <c r="B10" s="346"/>
      <c r="C10" s="347" t="s">
        <v>723</v>
      </c>
      <c r="D10" s="197" t="s">
        <v>69</v>
      </c>
      <c r="E10" s="343">
        <f t="shared" ref="E10" si="7">I10+M10+Q10+U10+Y10</f>
        <v>3</v>
      </c>
      <c r="F10" s="40"/>
      <c r="G10" s="40">
        <f t="shared" ref="G10" si="8">K10+O10+S10+W10+AA10</f>
        <v>26400</v>
      </c>
      <c r="H10" s="197"/>
      <c r="I10" s="344">
        <v>1</v>
      </c>
      <c r="J10" s="40">
        <v>8800</v>
      </c>
      <c r="K10" s="40">
        <f t="shared" ref="K10:K16" si="9">I10*J10</f>
        <v>8800</v>
      </c>
      <c r="M10" s="344">
        <v>1</v>
      </c>
      <c r="N10" s="40">
        <f>J10</f>
        <v>8800</v>
      </c>
      <c r="O10" s="40">
        <f t="shared" ref="O10:O16" si="10">M10*N10</f>
        <v>8800</v>
      </c>
      <c r="Q10" s="344">
        <v>0</v>
      </c>
      <c r="R10" s="40">
        <f>N10</f>
        <v>8800</v>
      </c>
      <c r="S10" s="40">
        <f t="shared" ref="S10:S16" si="11">Q10*R10</f>
        <v>0</v>
      </c>
      <c r="U10" s="344">
        <v>1</v>
      </c>
      <c r="V10" s="40">
        <f>R10</f>
        <v>8800</v>
      </c>
      <c r="W10" s="40">
        <f t="shared" ref="W10:W16" si="12">U10*V10</f>
        <v>8800</v>
      </c>
      <c r="Y10" s="343">
        <v>0</v>
      </c>
      <c r="Z10" s="40">
        <v>0</v>
      </c>
      <c r="AA10" s="40">
        <f t="shared" si="6"/>
        <v>0</v>
      </c>
    </row>
    <row r="11" spans="1:27">
      <c r="A11" s="345"/>
      <c r="B11" s="346"/>
      <c r="C11" s="347" t="s">
        <v>724</v>
      </c>
      <c r="D11" s="197" t="s">
        <v>69</v>
      </c>
      <c r="E11" s="343">
        <f>I11+M11+Q11+U11+Y11</f>
        <v>57</v>
      </c>
      <c r="F11" s="40"/>
      <c r="G11" s="40">
        <f>K11+O11+S11+W11+AA11</f>
        <v>47595</v>
      </c>
      <c r="H11" s="197"/>
      <c r="I11" s="343">
        <v>22</v>
      </c>
      <c r="J11" s="40">
        <v>835</v>
      </c>
      <c r="K11" s="40">
        <f>I11*J11</f>
        <v>18370</v>
      </c>
      <c r="M11" s="343">
        <v>17</v>
      </c>
      <c r="N11" s="40">
        <f>J11</f>
        <v>835</v>
      </c>
      <c r="O11" s="40">
        <f>M11*N11</f>
        <v>14195</v>
      </c>
      <c r="Q11" s="343">
        <v>0</v>
      </c>
      <c r="R11" s="40">
        <f>N11</f>
        <v>835</v>
      </c>
      <c r="S11" s="40">
        <f t="shared" si="11"/>
        <v>0</v>
      </c>
      <c r="U11" s="343">
        <v>18</v>
      </c>
      <c r="V11" s="40">
        <f>R11</f>
        <v>835</v>
      </c>
      <c r="W11" s="40">
        <f>U11*V11</f>
        <v>15030</v>
      </c>
      <c r="Y11" s="39">
        <v>0</v>
      </c>
      <c r="Z11" s="40">
        <v>0</v>
      </c>
      <c r="AA11" s="40">
        <f t="shared" si="6"/>
        <v>0</v>
      </c>
    </row>
    <row r="12" spans="1:27">
      <c r="A12" s="342"/>
      <c r="B12" s="321">
        <v>2.1</v>
      </c>
      <c r="C12" s="348" t="s">
        <v>725</v>
      </c>
      <c r="D12" s="197" t="s">
        <v>69</v>
      </c>
      <c r="E12" s="343">
        <f t="shared" ref="E12" si="13">I12+M12+Q12+U12+Y12</f>
        <v>57</v>
      </c>
      <c r="F12" s="40"/>
      <c r="G12" s="40">
        <f>K12+O12+S12+W12+AA12</f>
        <v>1995</v>
      </c>
      <c r="H12" s="197"/>
      <c r="I12" s="343">
        <f>I11</f>
        <v>22</v>
      </c>
      <c r="J12" s="40">
        <v>35</v>
      </c>
      <c r="K12" s="40">
        <f>I12*J12</f>
        <v>770</v>
      </c>
      <c r="M12" s="343">
        <f>M11</f>
        <v>17</v>
      </c>
      <c r="N12" s="40">
        <f>J12</f>
        <v>35</v>
      </c>
      <c r="O12" s="40">
        <f>M12*N12</f>
        <v>595</v>
      </c>
      <c r="Q12" s="343">
        <f>Q11</f>
        <v>0</v>
      </c>
      <c r="R12" s="40">
        <f>N12</f>
        <v>35</v>
      </c>
      <c r="S12" s="40">
        <f>Q12*R12</f>
        <v>0</v>
      </c>
      <c r="U12" s="343">
        <f>U11</f>
        <v>18</v>
      </c>
      <c r="V12" s="40">
        <f>R12</f>
        <v>35</v>
      </c>
      <c r="W12" s="40">
        <f>U12*V12</f>
        <v>630</v>
      </c>
      <c r="Y12" s="343">
        <f>Y11</f>
        <v>0</v>
      </c>
      <c r="Z12" s="40">
        <v>0</v>
      </c>
      <c r="AA12" s="40">
        <f>Y12*Z12</f>
        <v>0</v>
      </c>
    </row>
    <row r="13" spans="1:27">
      <c r="A13" s="345"/>
      <c r="B13" s="346"/>
      <c r="C13" s="192"/>
      <c r="D13" s="197"/>
      <c r="E13" s="343"/>
      <c r="F13" s="40"/>
      <c r="G13" s="40"/>
      <c r="H13" s="197"/>
      <c r="I13" s="343"/>
      <c r="J13" s="40"/>
      <c r="K13" s="40"/>
      <c r="M13" s="343"/>
      <c r="N13" s="40"/>
      <c r="O13" s="40"/>
      <c r="Q13" s="343"/>
      <c r="R13" s="40"/>
      <c r="S13" s="40"/>
      <c r="U13" s="343"/>
      <c r="V13" s="40"/>
      <c r="W13" s="40"/>
      <c r="Y13" s="39"/>
      <c r="Z13" s="40"/>
      <c r="AA13" s="40"/>
    </row>
    <row r="14" spans="1:27">
      <c r="A14" s="342" t="s">
        <v>719</v>
      </c>
      <c r="B14" s="321">
        <v>3</v>
      </c>
      <c r="C14" s="192" t="s">
        <v>726</v>
      </c>
      <c r="D14" s="197"/>
      <c r="E14" s="343"/>
      <c r="F14" s="40"/>
      <c r="G14" s="40"/>
      <c r="H14" s="197"/>
      <c r="I14" s="343"/>
      <c r="J14" s="40"/>
      <c r="K14" s="40"/>
      <c r="M14" s="343"/>
      <c r="N14" s="40"/>
      <c r="O14" s="40"/>
      <c r="Q14" s="343"/>
      <c r="R14" s="40"/>
      <c r="S14" s="40"/>
      <c r="U14" s="343"/>
      <c r="V14" s="40"/>
      <c r="W14" s="40"/>
      <c r="Y14" s="39"/>
      <c r="Z14" s="40"/>
      <c r="AA14" s="40"/>
    </row>
    <row r="15" spans="1:27">
      <c r="A15" s="345"/>
      <c r="B15" s="346"/>
      <c r="C15" s="347" t="s">
        <v>727</v>
      </c>
      <c r="D15" s="197" t="s">
        <v>69</v>
      </c>
      <c r="E15" s="343">
        <f t="shared" ref="E15:E16" si="14">I15+M15+Q15+U15+Y15</f>
        <v>1</v>
      </c>
      <c r="F15" s="40"/>
      <c r="G15" s="40">
        <f t="shared" ref="G15:G16" si="15">K15+O15+S15+W15+AA15</f>
        <v>5100</v>
      </c>
      <c r="H15" s="197"/>
      <c r="I15" s="343">
        <v>0</v>
      </c>
      <c r="J15" s="40">
        <v>0</v>
      </c>
      <c r="K15" s="40">
        <f t="shared" si="9"/>
        <v>0</v>
      </c>
      <c r="M15" s="344">
        <v>1</v>
      </c>
      <c r="N15" s="40">
        <v>5100</v>
      </c>
      <c r="O15" s="40">
        <f t="shared" si="10"/>
        <v>5100</v>
      </c>
      <c r="Q15" s="343">
        <v>0</v>
      </c>
      <c r="R15" s="40">
        <v>0</v>
      </c>
      <c r="S15" s="40">
        <f t="shared" si="11"/>
        <v>0</v>
      </c>
      <c r="U15" s="343">
        <v>0</v>
      </c>
      <c r="V15" s="40">
        <v>0</v>
      </c>
      <c r="W15" s="40">
        <f t="shared" si="12"/>
        <v>0</v>
      </c>
      <c r="Y15" s="343">
        <v>0</v>
      </c>
      <c r="Z15" s="40">
        <v>0</v>
      </c>
      <c r="AA15" s="40">
        <f t="shared" si="6"/>
        <v>0</v>
      </c>
    </row>
    <row r="16" spans="1:27">
      <c r="A16" s="345"/>
      <c r="B16" s="346"/>
      <c r="C16" s="347" t="s">
        <v>538</v>
      </c>
      <c r="D16" s="197" t="s">
        <v>69</v>
      </c>
      <c r="E16" s="343">
        <f t="shared" si="14"/>
        <v>12</v>
      </c>
      <c r="F16" s="40"/>
      <c r="G16" s="40">
        <f t="shared" si="15"/>
        <v>8700</v>
      </c>
      <c r="H16" s="197"/>
      <c r="I16" s="343">
        <v>0</v>
      </c>
      <c r="J16" s="40">
        <v>0</v>
      </c>
      <c r="K16" s="40">
        <f t="shared" si="9"/>
        <v>0</v>
      </c>
      <c r="M16" s="343">
        <v>12</v>
      </c>
      <c r="N16" s="40">
        <v>725</v>
      </c>
      <c r="O16" s="40">
        <f t="shared" si="10"/>
        <v>8700</v>
      </c>
      <c r="Q16" s="343">
        <v>0</v>
      </c>
      <c r="R16" s="40">
        <v>0</v>
      </c>
      <c r="S16" s="40">
        <f t="shared" si="11"/>
        <v>0</v>
      </c>
      <c r="U16" s="343">
        <v>0</v>
      </c>
      <c r="V16" s="40">
        <v>0</v>
      </c>
      <c r="W16" s="40">
        <f t="shared" si="12"/>
        <v>0</v>
      </c>
      <c r="Y16" s="39">
        <v>0</v>
      </c>
      <c r="Z16" s="40">
        <v>0</v>
      </c>
      <c r="AA16" s="40">
        <f t="shared" si="6"/>
        <v>0</v>
      </c>
    </row>
    <row r="17" spans="1:27">
      <c r="A17" s="345"/>
      <c r="B17" s="346"/>
      <c r="C17" s="192"/>
      <c r="D17" s="197"/>
      <c r="E17" s="343"/>
      <c r="F17" s="40"/>
      <c r="G17" s="40"/>
      <c r="H17" s="197"/>
      <c r="I17" s="343"/>
      <c r="J17" s="40"/>
      <c r="K17" s="40"/>
      <c r="M17" s="343"/>
      <c r="N17" s="40"/>
      <c r="O17" s="40"/>
      <c r="Q17" s="343"/>
      <c r="R17" s="40"/>
      <c r="S17" s="40"/>
      <c r="U17" s="343"/>
      <c r="V17" s="40"/>
      <c r="W17" s="40"/>
      <c r="Y17" s="39"/>
      <c r="Z17" s="40"/>
      <c r="AA17" s="40"/>
    </row>
    <row r="18" spans="1:27">
      <c r="A18" s="342" t="s">
        <v>719</v>
      </c>
      <c r="B18" s="321">
        <v>4</v>
      </c>
      <c r="C18" s="192" t="s">
        <v>728</v>
      </c>
      <c r="D18" s="197" t="s">
        <v>721</v>
      </c>
      <c r="E18" s="343">
        <f t="shared" ref="E18:E20" si="16">I18+M18+Q18+U18+Y18</f>
        <v>0.99999999999999989</v>
      </c>
      <c r="F18" s="40"/>
      <c r="G18" s="40">
        <f t="shared" ref="G18:G20" si="17">K18+O18+S18+W18+AA18</f>
        <v>1950</v>
      </c>
      <c r="H18" s="197"/>
      <c r="I18" s="344">
        <v>0.35</v>
      </c>
      <c r="J18" s="40">
        <v>1950</v>
      </c>
      <c r="K18" s="40">
        <f t="shared" ref="K18:K20" si="18">I18*J18</f>
        <v>682.5</v>
      </c>
      <c r="M18" s="344">
        <v>0.3</v>
      </c>
      <c r="N18" s="40">
        <f>J18</f>
        <v>1950</v>
      </c>
      <c r="O18" s="40">
        <f t="shared" ref="O18:O20" si="19">M18*N18</f>
        <v>585</v>
      </c>
      <c r="Q18" s="344">
        <v>0</v>
      </c>
      <c r="R18" s="40">
        <f>N18</f>
        <v>1950</v>
      </c>
      <c r="S18" s="40">
        <f t="shared" ref="S18:S20" si="20">Q18*R18</f>
        <v>0</v>
      </c>
      <c r="U18" s="344">
        <v>0.35</v>
      </c>
      <c r="V18" s="40">
        <f>R18</f>
        <v>1950</v>
      </c>
      <c r="W18" s="40">
        <f>U18*V18</f>
        <v>682.5</v>
      </c>
      <c r="Y18" s="39"/>
      <c r="Z18" s="40"/>
      <c r="AA18" s="40"/>
    </row>
    <row r="19" spans="1:27">
      <c r="A19" s="342"/>
      <c r="B19" s="321"/>
      <c r="C19" s="192"/>
      <c r="D19" s="197"/>
      <c r="E19" s="343"/>
      <c r="F19" s="40"/>
      <c r="G19" s="40"/>
      <c r="H19" s="197"/>
      <c r="I19" s="344"/>
      <c r="J19" s="40"/>
      <c r="K19" s="40"/>
      <c r="M19" s="344"/>
      <c r="N19" s="40"/>
      <c r="O19" s="40"/>
      <c r="Q19" s="344"/>
      <c r="R19" s="40"/>
      <c r="S19" s="40"/>
      <c r="U19" s="344"/>
      <c r="V19" s="40"/>
      <c r="W19" s="40"/>
      <c r="Y19" s="39"/>
      <c r="Z19" s="40"/>
      <c r="AA19" s="40"/>
    </row>
    <row r="20" spans="1:27">
      <c r="A20" s="342" t="s">
        <v>719</v>
      </c>
      <c r="B20" s="321">
        <v>5</v>
      </c>
      <c r="C20" s="192" t="s">
        <v>729</v>
      </c>
      <c r="D20" s="197" t="s">
        <v>721</v>
      </c>
      <c r="E20" s="343">
        <f t="shared" si="16"/>
        <v>0.99999999999999989</v>
      </c>
      <c r="F20" s="40"/>
      <c r="G20" s="40">
        <f t="shared" si="17"/>
        <v>2300</v>
      </c>
      <c r="H20" s="197"/>
      <c r="I20" s="344">
        <f>I18</f>
        <v>0.35</v>
      </c>
      <c r="J20" s="40">
        <v>2300</v>
      </c>
      <c r="K20" s="40">
        <f t="shared" si="18"/>
        <v>805</v>
      </c>
      <c r="M20" s="344">
        <f>M18</f>
        <v>0.3</v>
      </c>
      <c r="N20" s="40">
        <f>J20</f>
        <v>2300</v>
      </c>
      <c r="O20" s="40">
        <f t="shared" si="19"/>
        <v>690</v>
      </c>
      <c r="Q20" s="344">
        <v>0</v>
      </c>
      <c r="R20" s="40">
        <f>N20</f>
        <v>2300</v>
      </c>
      <c r="S20" s="40">
        <f t="shared" si="20"/>
        <v>0</v>
      </c>
      <c r="U20" s="344">
        <f>U18</f>
        <v>0.35</v>
      </c>
      <c r="V20" s="40">
        <f>R20</f>
        <v>2300</v>
      </c>
      <c r="W20" s="40">
        <f t="shared" ref="W20" si="21">U20*V20</f>
        <v>805</v>
      </c>
      <c r="Y20" s="39"/>
      <c r="Z20" s="40"/>
      <c r="AA20" s="40"/>
    </row>
    <row r="21" spans="1:27" ht="14.4" customHeight="1">
      <c r="A21" s="320"/>
      <c r="B21" s="321"/>
      <c r="C21" s="192"/>
      <c r="D21" s="197"/>
      <c r="E21" s="39"/>
      <c r="F21" s="40"/>
      <c r="G21" s="40"/>
      <c r="H21" s="197"/>
      <c r="I21" s="39"/>
      <c r="J21" s="40"/>
      <c r="K21" s="40"/>
      <c r="M21" s="39"/>
      <c r="N21" s="40"/>
      <c r="O21" s="40"/>
      <c r="Q21" s="39"/>
      <c r="R21" s="40"/>
      <c r="S21" s="40"/>
      <c r="U21" s="39"/>
      <c r="V21" s="40"/>
      <c r="W21" s="40"/>
      <c r="Y21" s="39"/>
      <c r="Z21" s="40"/>
      <c r="AA21" s="40"/>
    </row>
    <row r="22" spans="1:27" ht="14.4" customHeight="1">
      <c r="A22" s="345" t="s">
        <v>719</v>
      </c>
      <c r="B22" s="346">
        <v>6</v>
      </c>
      <c r="C22" s="328" t="s">
        <v>894</v>
      </c>
      <c r="D22" s="329"/>
      <c r="E22" s="362"/>
      <c r="F22" s="40"/>
      <c r="G22" s="332"/>
      <c r="H22" s="197"/>
      <c r="I22" s="39"/>
      <c r="J22" s="332"/>
      <c r="K22" s="40"/>
      <c r="M22" s="39"/>
      <c r="N22" s="40"/>
      <c r="O22" s="40"/>
      <c r="Q22" s="39"/>
      <c r="R22" s="40"/>
      <c r="S22" s="40"/>
      <c r="U22" s="39"/>
      <c r="V22" s="40"/>
      <c r="W22" s="40"/>
      <c r="Y22" s="39"/>
      <c r="Z22" s="40"/>
      <c r="AA22" s="40"/>
    </row>
    <row r="23" spans="1:27" ht="27.6">
      <c r="A23" s="320"/>
      <c r="B23" s="321"/>
      <c r="C23" s="192" t="s">
        <v>895</v>
      </c>
      <c r="D23" s="197" t="s">
        <v>11</v>
      </c>
      <c r="E23" s="343">
        <f t="shared" ref="E23:E24" si="22">I23+M23+Q23+U23+Y23</f>
        <v>65</v>
      </c>
      <c r="F23" s="40"/>
      <c r="G23" s="40">
        <f t="shared" ref="G23:G24" si="23">K23+O23+S23+W23+AA23</f>
        <v>16900</v>
      </c>
      <c r="H23" s="197"/>
      <c r="I23" s="344">
        <v>65</v>
      </c>
      <c r="J23" s="40">
        <v>260</v>
      </c>
      <c r="K23" s="40">
        <f t="shared" ref="K23:K24" si="24">I23*J23</f>
        <v>16900</v>
      </c>
      <c r="M23" s="344">
        <f>M21</f>
        <v>0</v>
      </c>
      <c r="N23" s="40">
        <f>J23</f>
        <v>260</v>
      </c>
      <c r="O23" s="40">
        <f t="shared" ref="O23:O24" si="25">M23*N23</f>
        <v>0</v>
      </c>
      <c r="Q23" s="344">
        <v>0</v>
      </c>
      <c r="R23" s="40">
        <f>N23</f>
        <v>260</v>
      </c>
      <c r="S23" s="40">
        <f t="shared" ref="S23:S24" si="26">Q23*R23</f>
        <v>0</v>
      </c>
      <c r="U23" s="344">
        <f>U21</f>
        <v>0</v>
      </c>
      <c r="V23" s="40">
        <f>R23</f>
        <v>260</v>
      </c>
      <c r="W23" s="40">
        <f t="shared" ref="W23:W24" si="27">U23*V23</f>
        <v>0</v>
      </c>
      <c r="Y23" s="39"/>
      <c r="Z23" s="40"/>
      <c r="AA23" s="40"/>
    </row>
    <row r="24" spans="1:27">
      <c r="A24" s="320"/>
      <c r="B24" s="321"/>
      <c r="C24" s="192" t="s">
        <v>896</v>
      </c>
      <c r="D24" s="197" t="s">
        <v>721</v>
      </c>
      <c r="E24" s="343">
        <f t="shared" si="22"/>
        <v>1</v>
      </c>
      <c r="F24" s="40"/>
      <c r="G24" s="40">
        <f t="shared" si="23"/>
        <v>2650</v>
      </c>
      <c r="H24" s="197"/>
      <c r="I24" s="344">
        <v>0.25</v>
      </c>
      <c r="J24" s="40">
        <v>2650</v>
      </c>
      <c r="K24" s="40">
        <f t="shared" si="24"/>
        <v>662.5</v>
      </c>
      <c r="M24" s="344">
        <v>0.25</v>
      </c>
      <c r="N24" s="40">
        <f>J24</f>
        <v>2650</v>
      </c>
      <c r="O24" s="40">
        <f t="shared" si="25"/>
        <v>662.5</v>
      </c>
      <c r="Q24" s="344">
        <v>0.25</v>
      </c>
      <c r="R24" s="40">
        <f>N24</f>
        <v>2650</v>
      </c>
      <c r="S24" s="40">
        <f t="shared" si="26"/>
        <v>662.5</v>
      </c>
      <c r="U24" s="344">
        <v>0.25</v>
      </c>
      <c r="V24" s="40">
        <f>R24</f>
        <v>2650</v>
      </c>
      <c r="W24" s="40">
        <f t="shared" si="27"/>
        <v>662.5</v>
      </c>
      <c r="Y24" s="39"/>
      <c r="Z24" s="40"/>
      <c r="AA24" s="40"/>
    </row>
    <row r="25" spans="1:27">
      <c r="A25" s="320"/>
      <c r="B25" s="321"/>
      <c r="C25" s="192"/>
      <c r="D25" s="197"/>
      <c r="E25" s="39"/>
      <c r="F25" s="40"/>
      <c r="G25" s="40"/>
      <c r="H25" s="197"/>
      <c r="I25" s="39"/>
      <c r="J25" s="40"/>
      <c r="K25" s="40"/>
      <c r="M25" s="39"/>
      <c r="N25" s="40"/>
      <c r="O25" s="40"/>
      <c r="Q25" s="39"/>
      <c r="R25" s="40"/>
      <c r="S25" s="40"/>
      <c r="U25" s="39"/>
      <c r="V25" s="40"/>
      <c r="W25" s="40"/>
      <c r="Y25" s="39"/>
      <c r="Z25" s="40"/>
      <c r="AA25" s="40"/>
    </row>
    <row r="26" spans="1:27">
      <c r="A26" s="14"/>
      <c r="B26" s="31"/>
      <c r="C26" s="38"/>
      <c r="D26" s="69"/>
      <c r="E26" s="37"/>
      <c r="F26" s="30"/>
      <c r="G26" s="34"/>
      <c r="H26" s="69"/>
      <c r="I26" s="37"/>
      <c r="J26" s="30"/>
      <c r="K26" s="34"/>
      <c r="M26" s="37"/>
      <c r="N26" s="30"/>
      <c r="O26" s="34"/>
      <c r="Q26" s="37"/>
      <c r="R26" s="30"/>
      <c r="S26" s="34"/>
      <c r="U26" s="37"/>
      <c r="V26" s="30"/>
      <c r="W26" s="34"/>
      <c r="Y26" s="37"/>
      <c r="Z26" s="30"/>
      <c r="AA26" s="34"/>
    </row>
    <row r="27" spans="1:27" ht="6" customHeight="1">
      <c r="A27" s="70"/>
      <c r="B27" s="41"/>
      <c r="C27" s="42"/>
      <c r="D27" s="41"/>
      <c r="E27" s="41"/>
      <c r="F27" s="44"/>
      <c r="G27" s="44"/>
      <c r="H27" s="41"/>
      <c r="I27" s="43"/>
      <c r="J27" s="44"/>
      <c r="K27" s="44"/>
      <c r="L27" s="41"/>
      <c r="M27" s="43"/>
      <c r="N27" s="44"/>
      <c r="O27" s="44"/>
      <c r="P27" s="41"/>
      <c r="Q27" s="43"/>
      <c r="R27" s="44"/>
      <c r="S27" s="44"/>
      <c r="T27" s="41"/>
      <c r="U27" s="43"/>
      <c r="V27" s="44"/>
      <c r="W27" s="44"/>
      <c r="X27" s="41"/>
      <c r="Y27" s="43"/>
      <c r="Z27" s="44"/>
      <c r="AA27" s="44"/>
    </row>
    <row r="28" spans="1:27" s="56" customFormat="1">
      <c r="A28" s="71"/>
      <c r="B28" s="72"/>
      <c r="C28" s="53" t="s">
        <v>7</v>
      </c>
      <c r="D28" s="52"/>
      <c r="E28" s="52"/>
      <c r="F28" s="55"/>
      <c r="G28" s="55">
        <f>K28+O28+S28+W28+AA28</f>
        <v>117440</v>
      </c>
      <c r="H28" s="52"/>
      <c r="I28" s="54"/>
      <c r="J28" s="55"/>
      <c r="K28" s="55">
        <f>SUM(K6:K27)</f>
        <v>47952.5</v>
      </c>
      <c r="L28" s="52"/>
      <c r="M28" s="54"/>
      <c r="N28" s="55"/>
      <c r="O28" s="55">
        <f>SUM(O6:O27)</f>
        <v>40290</v>
      </c>
      <c r="P28" s="52"/>
      <c r="Q28" s="54"/>
      <c r="R28" s="55"/>
      <c r="S28" s="55">
        <f>SUM(S6:S27)</f>
        <v>1625</v>
      </c>
      <c r="T28" s="52"/>
      <c r="U28" s="54"/>
      <c r="V28" s="55"/>
      <c r="W28" s="55">
        <f>SUM(W6:W27)</f>
        <v>27572.5</v>
      </c>
      <c r="X28" s="52"/>
      <c r="Y28" s="54"/>
      <c r="Z28" s="55"/>
      <c r="AA28" s="55">
        <f>SUM(AA6:AA27)</f>
        <v>0</v>
      </c>
    </row>
    <row r="29" spans="1:27" s="56" customFormat="1">
      <c r="A29" s="71"/>
      <c r="B29" s="72"/>
      <c r="C29" s="53" t="s">
        <v>8</v>
      </c>
      <c r="D29" s="52"/>
      <c r="E29" s="52"/>
      <c r="F29" s="55"/>
      <c r="G29" s="55">
        <f>G28*0.2</f>
        <v>23488</v>
      </c>
      <c r="H29" s="52"/>
      <c r="I29" s="54"/>
      <c r="J29" s="55"/>
      <c r="K29" s="55">
        <f>K28*0.2</f>
        <v>9590.5</v>
      </c>
      <c r="L29" s="52"/>
      <c r="M29" s="54"/>
      <c r="N29" s="55"/>
      <c r="O29" s="55">
        <f>O28*0.2</f>
        <v>8058</v>
      </c>
      <c r="P29" s="52"/>
      <c r="Q29" s="54"/>
      <c r="R29" s="55"/>
      <c r="S29" s="55">
        <f>S28*0.2</f>
        <v>325</v>
      </c>
      <c r="T29" s="52"/>
      <c r="U29" s="54"/>
      <c r="V29" s="55"/>
      <c r="W29" s="55">
        <f>W28*0.2</f>
        <v>5514.5</v>
      </c>
      <c r="X29" s="52"/>
      <c r="Y29" s="54"/>
      <c r="Z29" s="55"/>
      <c r="AA29" s="55">
        <f>AA28*0.2</f>
        <v>0</v>
      </c>
    </row>
    <row r="30" spans="1:27" s="56" customFormat="1">
      <c r="A30" s="71"/>
      <c r="B30" s="72"/>
      <c r="C30" s="53" t="s">
        <v>9</v>
      </c>
      <c r="D30" s="52"/>
      <c r="E30" s="52"/>
      <c r="F30" s="55"/>
      <c r="G30" s="55">
        <f>G29+G28</f>
        <v>140928</v>
      </c>
      <c r="H30" s="52"/>
      <c r="I30" s="54"/>
      <c r="J30" s="55"/>
      <c r="K30" s="55">
        <f>K29+K28</f>
        <v>57543</v>
      </c>
      <c r="L30" s="52"/>
      <c r="M30" s="54"/>
      <c r="N30" s="55"/>
      <c r="O30" s="55">
        <f>O29+O28</f>
        <v>48348</v>
      </c>
      <c r="P30" s="52"/>
      <c r="Q30" s="54"/>
      <c r="R30" s="55"/>
      <c r="S30" s="55">
        <f>S29+S28</f>
        <v>1950</v>
      </c>
      <c r="T30" s="52"/>
      <c r="U30" s="54"/>
      <c r="V30" s="55"/>
      <c r="W30" s="55">
        <f>W29+W28</f>
        <v>33087</v>
      </c>
      <c r="X30" s="52"/>
      <c r="Y30" s="54"/>
      <c r="Z30" s="55"/>
      <c r="AA30" s="55">
        <f>AA29+AA28</f>
        <v>0</v>
      </c>
    </row>
    <row r="31" spans="1:27" ht="6.6" customHeight="1">
      <c r="A31" s="73"/>
      <c r="B31" s="74"/>
      <c r="C31" s="45"/>
      <c r="D31" s="46"/>
      <c r="E31" s="51"/>
      <c r="F31" s="48"/>
      <c r="G31" s="48"/>
      <c r="H31" s="46"/>
      <c r="I31" s="47"/>
      <c r="J31" s="48"/>
      <c r="K31" s="48"/>
      <c r="L31" s="49"/>
      <c r="M31" s="50"/>
      <c r="N31" s="48"/>
      <c r="O31" s="48"/>
      <c r="P31" s="49"/>
      <c r="Q31" s="50"/>
      <c r="R31" s="48"/>
      <c r="S31" s="48"/>
      <c r="T31" s="49"/>
      <c r="U31" s="50"/>
      <c r="V31" s="48"/>
      <c r="W31" s="48"/>
      <c r="X31" s="49"/>
      <c r="Y31" s="50"/>
      <c r="Z31" s="48"/>
      <c r="AA31" s="48"/>
    </row>
    <row r="40" spans="7:7">
      <c r="G40" s="207"/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E114"/>
  <sheetViews>
    <sheetView showGridLines="0" view="pageBreakPreview" zoomScale="70" zoomScaleNormal="85" zoomScaleSheetLayoutView="70" workbookViewId="0">
      <pane ySplit="5" topLeftCell="A93" activePane="bottomLeft" state="frozen"/>
      <selection activeCell="C15" sqref="C15:I15"/>
      <selection pane="bottomLeft" activeCell="K125" sqref="K125"/>
    </sheetView>
  </sheetViews>
  <sheetFormatPr baseColWidth="10" defaultColWidth="11.44140625" defaultRowHeight="14.4"/>
  <cols>
    <col min="1" max="1" width="3.33203125" style="2" customWidth="1"/>
    <col min="2" max="2" width="5.109375" style="3" customWidth="1"/>
    <col min="3" max="3" width="55.6640625" style="24" customWidth="1"/>
    <col min="4" max="4" width="4.5546875" style="1" bestFit="1" customWidth="1"/>
    <col min="5" max="5" width="7.88671875" style="1" customWidth="1"/>
    <col min="6" max="6" width="12" style="1" bestFit="1" customWidth="1"/>
    <col min="7" max="7" width="15" style="1" customWidth="1"/>
    <col min="8" max="8" width="2.6640625" style="1" customWidth="1"/>
    <col min="9" max="9" width="7.5546875" style="1" bestFit="1" customWidth="1"/>
    <col min="10" max="10" width="14.6640625" style="1" bestFit="1" customWidth="1"/>
    <col min="11" max="11" width="14.5546875" style="1" customWidth="1"/>
    <col min="12" max="12" width="2.6640625" style="1" customWidth="1"/>
    <col min="13" max="13" width="7.5546875" style="1" bestFit="1" customWidth="1"/>
    <col min="14" max="14" width="11.44140625" style="1" bestFit="1" customWidth="1"/>
    <col min="15" max="15" width="14.44140625" style="1" bestFit="1" customWidth="1"/>
    <col min="16" max="16" width="2.6640625" style="1" customWidth="1"/>
    <col min="17" max="17" width="7.5546875" style="1" bestFit="1" customWidth="1"/>
    <col min="18" max="18" width="11.44140625" style="1" bestFit="1" customWidth="1"/>
    <col min="19" max="19" width="14.44140625" style="1" bestFit="1" customWidth="1"/>
    <col min="20" max="20" width="2.6640625" style="1" customWidth="1"/>
    <col min="21" max="21" width="7.5546875" style="1" bestFit="1" customWidth="1"/>
    <col min="22" max="22" width="11.44140625" style="1" bestFit="1" customWidth="1"/>
    <col min="23" max="23" width="14.44140625" style="1" bestFit="1" customWidth="1"/>
    <col min="24" max="24" width="2.6640625" style="1" customWidth="1"/>
    <col min="25" max="25" width="7.5546875" style="1" bestFit="1" customWidth="1"/>
    <col min="26" max="26" width="11.44140625" style="1" bestFit="1" customWidth="1"/>
    <col min="27" max="27" width="14.44140625" style="1" bestFit="1" customWidth="1"/>
    <col min="28" max="28" width="14.5546875" style="1" bestFit="1" customWidth="1"/>
    <col min="29" max="29" width="12.109375" style="1" bestFit="1" customWidth="1"/>
    <col min="30" max="30" width="11.44140625" style="1"/>
    <col min="31" max="31" width="15" style="1" customWidth="1"/>
    <col min="32" max="16384" width="11.44140625" style="1"/>
  </cols>
  <sheetData>
    <row r="1" spans="1:27" ht="23.25" customHeight="1">
      <c r="A1" s="566" t="s">
        <v>795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8"/>
    </row>
    <row r="2" spans="1:27" ht="8.4" customHeight="1">
      <c r="A2" s="15"/>
      <c r="C2" s="3"/>
      <c r="D2" s="3"/>
      <c r="E2" s="3"/>
      <c r="F2" s="3"/>
      <c r="G2" s="2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23"/>
    </row>
    <row r="3" spans="1:27" ht="19.5" customHeight="1">
      <c r="A3" s="16"/>
      <c r="C3" s="203" t="str">
        <f>'Page de garde'!C15</f>
        <v>IND 00 du 10/06/2025</v>
      </c>
      <c r="E3" s="569" t="s">
        <v>12</v>
      </c>
      <c r="F3" s="570"/>
      <c r="G3" s="571"/>
      <c r="I3" s="572" t="s">
        <v>30</v>
      </c>
      <c r="J3" s="573"/>
      <c r="K3" s="574"/>
      <c r="M3" s="572" t="s">
        <v>31</v>
      </c>
      <c r="N3" s="573"/>
      <c r="O3" s="574"/>
      <c r="Q3" s="572" t="s">
        <v>33</v>
      </c>
      <c r="R3" s="573"/>
      <c r="S3" s="574"/>
      <c r="U3" s="572" t="s">
        <v>34</v>
      </c>
      <c r="V3" s="573"/>
      <c r="W3" s="574"/>
      <c r="Y3" s="572" t="s">
        <v>35</v>
      </c>
      <c r="Z3" s="573"/>
      <c r="AA3" s="574"/>
    </row>
    <row r="4" spans="1:27" ht="19.5" customHeight="1">
      <c r="A4" s="16"/>
      <c r="E4" s="76"/>
      <c r="F4" s="77"/>
      <c r="G4" s="78" t="s">
        <v>11</v>
      </c>
      <c r="I4" s="57"/>
      <c r="J4" s="58"/>
      <c r="K4" s="59" t="s">
        <v>11</v>
      </c>
      <c r="M4" s="60"/>
      <c r="N4" s="58"/>
      <c r="O4" s="59" t="s">
        <v>11</v>
      </c>
      <c r="Q4" s="60"/>
      <c r="R4" s="58"/>
      <c r="S4" s="59" t="s">
        <v>11</v>
      </c>
      <c r="U4" s="60"/>
      <c r="V4" s="58"/>
      <c r="W4" s="59" t="s">
        <v>11</v>
      </c>
      <c r="Y4" s="60"/>
      <c r="Z4" s="58"/>
      <c r="AA4" s="59" t="s">
        <v>11</v>
      </c>
    </row>
    <row r="5" spans="1:27" s="17" customFormat="1" ht="24">
      <c r="A5" s="565" t="s">
        <v>1</v>
      </c>
      <c r="B5" s="565"/>
      <c r="C5" s="25" t="s">
        <v>2</v>
      </c>
      <c r="D5" s="18" t="s">
        <v>0</v>
      </c>
      <c r="E5" s="79" t="s">
        <v>3</v>
      </c>
      <c r="F5" s="79" t="s">
        <v>4</v>
      </c>
      <c r="G5" s="79" t="s">
        <v>5</v>
      </c>
      <c r="H5" s="18"/>
      <c r="I5" s="19" t="s">
        <v>3</v>
      </c>
      <c r="J5" s="19" t="s">
        <v>4</v>
      </c>
      <c r="K5" s="19" t="s">
        <v>5</v>
      </c>
      <c r="L5" s="18"/>
      <c r="M5" s="19" t="s">
        <v>3</v>
      </c>
      <c r="N5" s="19" t="s">
        <v>4</v>
      </c>
      <c r="O5" s="19" t="s">
        <v>5</v>
      </c>
      <c r="P5" s="18"/>
      <c r="Q5" s="19" t="s">
        <v>3</v>
      </c>
      <c r="R5" s="19" t="s">
        <v>4</v>
      </c>
      <c r="S5" s="19" t="s">
        <v>5</v>
      </c>
      <c r="T5" s="18"/>
      <c r="U5" s="19" t="s">
        <v>3</v>
      </c>
      <c r="V5" s="19" t="s">
        <v>4</v>
      </c>
      <c r="W5" s="19" t="s">
        <v>5</v>
      </c>
      <c r="X5" s="18"/>
      <c r="Y5" s="19" t="s">
        <v>3</v>
      </c>
      <c r="Z5" s="19" t="s">
        <v>4</v>
      </c>
      <c r="AA5" s="19" t="s">
        <v>5</v>
      </c>
    </row>
    <row r="6" spans="1:27">
      <c r="A6" s="62" t="s">
        <v>719</v>
      </c>
      <c r="B6" s="62">
        <v>1</v>
      </c>
      <c r="C6" s="63" t="s">
        <v>732</v>
      </c>
      <c r="D6" s="64"/>
      <c r="E6" s="366"/>
      <c r="F6" s="66"/>
      <c r="G6" s="66"/>
      <c r="H6" s="64"/>
      <c r="I6" s="366"/>
      <c r="J6" s="66"/>
      <c r="K6" s="66"/>
      <c r="L6" s="64"/>
      <c r="M6" s="366"/>
      <c r="N6" s="66"/>
      <c r="O6" s="66"/>
      <c r="P6" s="64"/>
      <c r="Q6" s="366"/>
      <c r="R6" s="66"/>
      <c r="S6" s="66"/>
      <c r="T6" s="64"/>
      <c r="U6" s="366"/>
      <c r="V6" s="66"/>
      <c r="W6" s="66"/>
      <c r="X6" s="64"/>
      <c r="Y6" s="366"/>
      <c r="Z6" s="66"/>
      <c r="AA6" s="66"/>
    </row>
    <row r="7" spans="1:27">
      <c r="A7" s="31"/>
      <c r="B7" s="31" t="s">
        <v>733</v>
      </c>
      <c r="C7" s="28" t="s">
        <v>734</v>
      </c>
      <c r="D7" s="67" t="s">
        <v>6</v>
      </c>
      <c r="E7" s="29">
        <f>I7+M7+Q7+U7+Y7</f>
        <v>5</v>
      </c>
      <c r="F7" s="32"/>
      <c r="G7" s="32">
        <f>K7+O7+S7+W7+AA7</f>
        <v>27285.5</v>
      </c>
      <c r="H7" s="67"/>
      <c r="I7" s="67">
        <v>1</v>
      </c>
      <c r="J7" s="32">
        <v>5717.25</v>
      </c>
      <c r="K7" s="32">
        <f>I7*J7</f>
        <v>5717.25</v>
      </c>
      <c r="L7" s="67"/>
      <c r="M7" s="67">
        <v>1</v>
      </c>
      <c r="N7" s="32">
        <v>13128.5</v>
      </c>
      <c r="O7" s="32">
        <f t="shared" ref="O7:O8" si="0">M7*N7</f>
        <v>13128.5</v>
      </c>
      <c r="P7" s="67"/>
      <c r="Q7" s="67">
        <v>1</v>
      </c>
      <c r="R7" s="32">
        <v>1149.5</v>
      </c>
      <c r="S7" s="32">
        <f t="shared" ref="S7:S8" si="1">Q7*R7</f>
        <v>1149.5</v>
      </c>
      <c r="T7" s="67"/>
      <c r="U7" s="67">
        <v>1</v>
      </c>
      <c r="V7" s="32">
        <v>6140.75</v>
      </c>
      <c r="W7" s="32">
        <f t="shared" ref="W7:W8" si="2">U7*V7</f>
        <v>6140.75</v>
      </c>
      <c r="X7" s="67"/>
      <c r="Y7" s="67">
        <v>1</v>
      </c>
      <c r="Z7" s="32">
        <v>1149.5</v>
      </c>
      <c r="AA7" s="32">
        <f t="shared" ref="AA7:AA8" si="3">Y7*Z7</f>
        <v>1149.5</v>
      </c>
    </row>
    <row r="8" spans="1:27">
      <c r="A8" s="31"/>
      <c r="B8" s="31" t="s">
        <v>733</v>
      </c>
      <c r="C8" s="28" t="s">
        <v>735</v>
      </c>
      <c r="D8" s="67" t="s">
        <v>6</v>
      </c>
      <c r="E8" s="29">
        <f>I8+M8+Q8+U8+Y8</f>
        <v>5</v>
      </c>
      <c r="F8" s="32"/>
      <c r="G8" s="32">
        <f>K8+O8+S8+W8+AA8</f>
        <v>3859.1800000000003</v>
      </c>
      <c r="H8" s="67"/>
      <c r="I8" s="67">
        <v>1</v>
      </c>
      <c r="J8" s="32">
        <v>930.42</v>
      </c>
      <c r="K8" s="32">
        <f>I8*J8</f>
        <v>930.42</v>
      </c>
      <c r="L8" s="67"/>
      <c r="M8" s="67">
        <v>1</v>
      </c>
      <c r="N8" s="32">
        <v>930.42</v>
      </c>
      <c r="O8" s="32">
        <f t="shared" si="0"/>
        <v>930.42</v>
      </c>
      <c r="P8" s="67"/>
      <c r="Q8" s="67">
        <v>1</v>
      </c>
      <c r="R8" s="32">
        <v>533.96</v>
      </c>
      <c r="S8" s="32">
        <f t="shared" si="1"/>
        <v>533.96</v>
      </c>
      <c r="T8" s="67"/>
      <c r="U8" s="67">
        <v>1</v>
      </c>
      <c r="V8" s="32">
        <v>930.42</v>
      </c>
      <c r="W8" s="32">
        <f t="shared" si="2"/>
        <v>930.42</v>
      </c>
      <c r="X8" s="67"/>
      <c r="Y8" s="67">
        <v>1</v>
      </c>
      <c r="Z8" s="32">
        <v>533.96</v>
      </c>
      <c r="AA8" s="32">
        <f t="shared" si="3"/>
        <v>533.96</v>
      </c>
    </row>
    <row r="9" spans="1:27">
      <c r="A9" s="31"/>
      <c r="B9" s="31"/>
      <c r="C9" s="28"/>
      <c r="D9" s="67"/>
      <c r="E9" s="67"/>
      <c r="F9" s="32"/>
      <c r="G9" s="32"/>
      <c r="H9" s="67"/>
      <c r="I9" s="67"/>
      <c r="J9" s="32"/>
      <c r="K9" s="32"/>
      <c r="L9" s="67"/>
      <c r="M9" s="67" t="s">
        <v>897</v>
      </c>
      <c r="N9" s="32"/>
      <c r="O9" s="32"/>
      <c r="P9" s="67"/>
      <c r="Q9" s="67"/>
      <c r="R9" s="32"/>
      <c r="S9" s="32"/>
      <c r="T9" s="67"/>
      <c r="U9" s="67"/>
      <c r="V9" s="32"/>
      <c r="W9" s="32"/>
      <c r="X9" s="67"/>
      <c r="Y9" s="67"/>
      <c r="Z9" s="32"/>
      <c r="AA9" s="32"/>
    </row>
    <row r="10" spans="1:27">
      <c r="A10" s="27"/>
      <c r="B10" s="27"/>
      <c r="C10" s="38" t="s">
        <v>736</v>
      </c>
      <c r="D10" s="68"/>
      <c r="E10" s="369"/>
      <c r="F10" s="33" t="s">
        <v>10</v>
      </c>
      <c r="G10" s="34">
        <f>K10+O10+S10+W10+AA10</f>
        <v>31144.68</v>
      </c>
      <c r="H10" s="68"/>
      <c r="I10" s="369"/>
      <c r="J10" s="33" t="s">
        <v>10</v>
      </c>
      <c r="K10" s="34">
        <f>SUM(K6:K9)</f>
        <v>6647.67</v>
      </c>
      <c r="L10" s="68"/>
      <c r="M10" s="369" t="s">
        <v>897</v>
      </c>
      <c r="N10" s="33" t="s">
        <v>10</v>
      </c>
      <c r="O10" s="34">
        <f>SUM(O6:O9)</f>
        <v>14058.92</v>
      </c>
      <c r="P10" s="68"/>
      <c r="Q10" s="369"/>
      <c r="R10" s="33" t="s">
        <v>10</v>
      </c>
      <c r="S10" s="34">
        <f>SUM(S6:S9)</f>
        <v>1683.46</v>
      </c>
      <c r="T10" s="68"/>
      <c r="U10" s="369"/>
      <c r="V10" s="33" t="s">
        <v>10</v>
      </c>
      <c r="W10" s="34">
        <f>SUM(W6:W9)</f>
        <v>7071.17</v>
      </c>
      <c r="X10" s="68"/>
      <c r="Y10" s="369"/>
      <c r="Z10" s="33" t="s">
        <v>10</v>
      </c>
      <c r="AA10" s="34">
        <f>SUM(AA6:AA9)</f>
        <v>1683.46</v>
      </c>
    </row>
    <row r="11" spans="1:27">
      <c r="A11" s="27"/>
      <c r="B11" s="27"/>
      <c r="C11" s="38"/>
      <c r="D11" s="68"/>
      <c r="E11" s="369"/>
      <c r="F11" s="33"/>
      <c r="G11" s="34"/>
      <c r="H11" s="68"/>
      <c r="I11" s="369"/>
      <c r="J11" s="33"/>
      <c r="K11" s="34"/>
      <c r="L11" s="68"/>
      <c r="M11" s="369" t="s">
        <v>897</v>
      </c>
      <c r="N11" s="33"/>
      <c r="O11" s="34"/>
      <c r="P11" s="68"/>
      <c r="Q11" s="369"/>
      <c r="R11" s="33"/>
      <c r="S11" s="34"/>
      <c r="T11" s="68"/>
      <c r="U11" s="369"/>
      <c r="V11" s="33"/>
      <c r="W11" s="34"/>
      <c r="X11" s="68"/>
      <c r="Y11" s="369"/>
      <c r="Z11" s="33"/>
      <c r="AA11" s="34"/>
    </row>
    <row r="12" spans="1:27">
      <c r="A12" s="27"/>
      <c r="B12" s="27"/>
      <c r="C12" s="36"/>
      <c r="D12" s="68"/>
      <c r="E12" s="369"/>
      <c r="F12" s="33"/>
      <c r="G12" s="34"/>
      <c r="H12" s="68"/>
      <c r="I12" s="369"/>
      <c r="J12" s="33"/>
      <c r="K12" s="34"/>
      <c r="L12" s="68"/>
      <c r="M12" s="369" t="s">
        <v>897</v>
      </c>
      <c r="N12" s="33"/>
      <c r="O12" s="34"/>
      <c r="P12" s="68"/>
      <c r="Q12" s="369"/>
      <c r="R12" s="33"/>
      <c r="S12" s="34"/>
      <c r="T12" s="68"/>
      <c r="U12" s="369"/>
      <c r="V12" s="33"/>
      <c r="W12" s="34"/>
      <c r="X12" s="68"/>
      <c r="Y12" s="369"/>
      <c r="Z12" s="33"/>
      <c r="AA12" s="34"/>
    </row>
    <row r="13" spans="1:27">
      <c r="A13" s="62" t="s">
        <v>719</v>
      </c>
      <c r="B13" s="62">
        <v>2</v>
      </c>
      <c r="C13" s="63" t="s">
        <v>321</v>
      </c>
      <c r="D13" s="64"/>
      <c r="E13" s="366"/>
      <c r="F13" s="66"/>
      <c r="G13" s="66"/>
      <c r="H13" s="64"/>
      <c r="I13" s="366"/>
      <c r="J13" s="66"/>
      <c r="K13" s="66"/>
      <c r="L13" s="64"/>
      <c r="M13" s="366" t="s">
        <v>897</v>
      </c>
      <c r="N13" s="66"/>
      <c r="O13" s="66"/>
      <c r="P13" s="64"/>
      <c r="Q13" s="366"/>
      <c r="R13" s="66"/>
      <c r="S13" s="66"/>
      <c r="T13" s="64"/>
      <c r="U13" s="366"/>
      <c r="V13" s="66"/>
      <c r="W13" s="66"/>
      <c r="X13" s="64"/>
      <c r="Y13" s="366"/>
      <c r="Z13" s="66"/>
      <c r="AA13" s="66"/>
    </row>
    <row r="14" spans="1:27" ht="27.6">
      <c r="A14" s="14"/>
      <c r="B14" s="31"/>
      <c r="C14" s="28" t="s">
        <v>737</v>
      </c>
      <c r="D14" s="67" t="s">
        <v>6</v>
      </c>
      <c r="E14" s="29">
        <f>I14+M14+Q14+U14+Y14</f>
        <v>5</v>
      </c>
      <c r="F14" s="32"/>
      <c r="G14" s="32">
        <f>K14+O14+S14+W14+AA14</f>
        <v>121598.71</v>
      </c>
      <c r="H14" s="67"/>
      <c r="I14" s="67">
        <v>1</v>
      </c>
      <c r="J14" s="32">
        <v>42738.51</v>
      </c>
      <c r="K14" s="32">
        <f>I14*J14</f>
        <v>42738.51</v>
      </c>
      <c r="L14" s="67"/>
      <c r="M14" s="67">
        <v>1</v>
      </c>
      <c r="N14" s="32">
        <v>34624.629999999997</v>
      </c>
      <c r="O14" s="32">
        <f>M14*N14</f>
        <v>34624.629999999997</v>
      </c>
      <c r="P14" s="67"/>
      <c r="Q14" s="67">
        <v>1</v>
      </c>
      <c r="R14" s="32">
        <v>4175.03</v>
      </c>
      <c r="S14" s="32">
        <f>Q14*R14</f>
        <v>4175.03</v>
      </c>
      <c r="T14" s="67"/>
      <c r="U14" s="67">
        <v>1</v>
      </c>
      <c r="V14" s="32">
        <v>35312.94</v>
      </c>
      <c r="W14" s="32">
        <f>U14*V14</f>
        <v>35312.94</v>
      </c>
      <c r="X14" s="67"/>
      <c r="Y14" s="67">
        <v>1</v>
      </c>
      <c r="Z14" s="32">
        <v>4747.6000000000004</v>
      </c>
      <c r="AA14" s="32">
        <f>Y14*Z14</f>
        <v>4747.6000000000004</v>
      </c>
    </row>
    <row r="15" spans="1:27">
      <c r="A15" s="14"/>
      <c r="B15" s="31"/>
      <c r="C15" s="28"/>
      <c r="D15" s="67"/>
      <c r="E15" s="67"/>
      <c r="F15" s="32"/>
      <c r="G15" s="32"/>
      <c r="H15" s="67"/>
      <c r="I15" s="67"/>
      <c r="J15" s="32"/>
      <c r="K15" s="32"/>
      <c r="L15" s="67"/>
      <c r="M15" s="67" t="s">
        <v>897</v>
      </c>
      <c r="N15" s="32"/>
      <c r="O15" s="32"/>
      <c r="P15" s="67"/>
      <c r="Q15" s="67"/>
      <c r="R15" s="32"/>
      <c r="S15" s="32"/>
      <c r="T15" s="67"/>
      <c r="U15" s="67"/>
      <c r="V15" s="32"/>
      <c r="W15" s="32"/>
      <c r="X15" s="67"/>
      <c r="Y15" s="67"/>
      <c r="Z15" s="32"/>
      <c r="AA15" s="32"/>
    </row>
    <row r="16" spans="1:27">
      <c r="A16" s="35"/>
      <c r="B16" s="27"/>
      <c r="C16" s="38" t="s">
        <v>311</v>
      </c>
      <c r="D16" s="68"/>
      <c r="E16" s="369"/>
      <c r="F16" s="33" t="s">
        <v>10</v>
      </c>
      <c r="G16" s="34">
        <f>K16+O16+S16+W16+AA16</f>
        <v>121598.71</v>
      </c>
      <c r="H16" s="68"/>
      <c r="I16" s="369"/>
      <c r="J16" s="33" t="s">
        <v>10</v>
      </c>
      <c r="K16" s="34">
        <f>SUM(K13:K15)</f>
        <v>42738.51</v>
      </c>
      <c r="L16" s="68"/>
      <c r="M16" s="369" t="s">
        <v>897</v>
      </c>
      <c r="N16" s="33" t="s">
        <v>10</v>
      </c>
      <c r="O16" s="34">
        <f>SUM(O13:O15)</f>
        <v>34624.629999999997</v>
      </c>
      <c r="P16" s="68"/>
      <c r="Q16" s="369"/>
      <c r="R16" s="33" t="s">
        <v>10</v>
      </c>
      <c r="S16" s="34">
        <f>SUM(S13:S15)</f>
        <v>4175.03</v>
      </c>
      <c r="T16" s="68"/>
      <c r="U16" s="369"/>
      <c r="V16" s="33" t="s">
        <v>10</v>
      </c>
      <c r="W16" s="34">
        <f>SUM(W13:W15)</f>
        <v>35312.94</v>
      </c>
      <c r="X16" s="68"/>
      <c r="Y16" s="369"/>
      <c r="Z16" s="33" t="s">
        <v>10</v>
      </c>
      <c r="AA16" s="34">
        <f>SUM(AA13:AA15)</f>
        <v>4747.6000000000004</v>
      </c>
    </row>
    <row r="17" spans="1:31">
      <c r="A17" s="14"/>
      <c r="B17" s="31"/>
      <c r="C17" s="28"/>
      <c r="D17" s="67"/>
      <c r="E17" s="67"/>
      <c r="F17" s="32"/>
      <c r="G17" s="32"/>
      <c r="H17" s="67"/>
      <c r="I17" s="67"/>
      <c r="J17" s="32"/>
      <c r="K17" s="32"/>
      <c r="L17" s="67"/>
      <c r="M17" s="67" t="s">
        <v>897</v>
      </c>
      <c r="N17" s="32"/>
      <c r="O17" s="32"/>
      <c r="P17" s="67"/>
      <c r="Q17" s="67"/>
      <c r="R17" s="32"/>
      <c r="S17" s="32"/>
      <c r="T17" s="67"/>
      <c r="U17" s="67"/>
      <c r="V17" s="32"/>
      <c r="W17" s="32"/>
      <c r="X17" s="67"/>
      <c r="Y17" s="67"/>
      <c r="Z17" s="32"/>
      <c r="AA17" s="32"/>
    </row>
    <row r="18" spans="1:31">
      <c r="A18" s="62" t="s">
        <v>719</v>
      </c>
      <c r="B18" s="62">
        <v>3</v>
      </c>
      <c r="C18" s="63" t="s">
        <v>738</v>
      </c>
      <c r="D18" s="64"/>
      <c r="E18" s="366"/>
      <c r="F18" s="66"/>
      <c r="G18" s="66"/>
      <c r="H18" s="64"/>
      <c r="I18" s="366"/>
      <c r="J18" s="66"/>
      <c r="K18" s="66"/>
      <c r="L18" s="64"/>
      <c r="M18" s="366" t="s">
        <v>897</v>
      </c>
      <c r="N18" s="66"/>
      <c r="O18" s="66"/>
      <c r="P18" s="64"/>
      <c r="Q18" s="366"/>
      <c r="R18" s="66"/>
      <c r="S18" s="66"/>
      <c r="T18" s="64"/>
      <c r="U18" s="366"/>
      <c r="V18" s="66"/>
      <c r="W18" s="66"/>
      <c r="X18" s="64"/>
      <c r="Y18" s="366"/>
      <c r="Z18" s="66"/>
      <c r="AA18" s="66"/>
    </row>
    <row r="19" spans="1:31" ht="15">
      <c r="A19" s="320" t="s">
        <v>20</v>
      </c>
      <c r="B19" s="321" t="s">
        <v>739</v>
      </c>
      <c r="C19" s="192" t="s">
        <v>740</v>
      </c>
      <c r="D19" s="197" t="s">
        <v>741</v>
      </c>
      <c r="E19" s="29">
        <f>I19+M19+Q19+U19+Y19</f>
        <v>82.2</v>
      </c>
      <c r="F19" s="40"/>
      <c r="G19" s="40">
        <f>K19+O19+S19+W19+AA19</f>
        <v>2246.5259999999998</v>
      </c>
      <c r="H19" s="197"/>
      <c r="I19" s="67">
        <v>15.3</v>
      </c>
      <c r="J19" s="32">
        <v>27.33</v>
      </c>
      <c r="K19" s="32">
        <f t="shared" ref="K19:K21" si="4">I19*J19</f>
        <v>418.149</v>
      </c>
      <c r="L19" s="197"/>
      <c r="M19" s="67">
        <v>47.9</v>
      </c>
      <c r="N19" s="32">
        <v>27.33</v>
      </c>
      <c r="O19" s="32">
        <f t="shared" ref="O19:O21" si="5">M19*N19</f>
        <v>1309.107</v>
      </c>
      <c r="P19" s="197"/>
      <c r="Q19" s="67">
        <v>0</v>
      </c>
      <c r="R19" s="32">
        <f t="shared" ref="R19:R21" si="6">$F19</f>
        <v>0</v>
      </c>
      <c r="S19" s="32">
        <f t="shared" ref="S19:S21" si="7">Q19*R19</f>
        <v>0</v>
      </c>
      <c r="T19" s="197"/>
      <c r="U19" s="67">
        <v>19</v>
      </c>
      <c r="V19" s="32">
        <v>27.33</v>
      </c>
      <c r="W19" s="32">
        <f t="shared" ref="W19:W21" si="8">U19*V19</f>
        <v>519.27</v>
      </c>
      <c r="X19" s="197"/>
      <c r="Y19" s="67">
        <v>0</v>
      </c>
      <c r="Z19" s="32">
        <f t="shared" ref="Z19:Z21" si="9">$F19</f>
        <v>0</v>
      </c>
      <c r="AA19" s="32">
        <f t="shared" ref="AA19:AA21" si="10">Y19*Z19</f>
        <v>0</v>
      </c>
      <c r="AC19" s="322"/>
      <c r="AD19" s="322"/>
      <c r="AE19" s="322"/>
    </row>
    <row r="20" spans="1:31" ht="15">
      <c r="A20" s="320" t="s">
        <v>20</v>
      </c>
      <c r="B20" s="321" t="s">
        <v>742</v>
      </c>
      <c r="C20" s="192" t="s">
        <v>743</v>
      </c>
      <c r="D20" s="197" t="s">
        <v>741</v>
      </c>
      <c r="E20" s="29">
        <f>I20+M20+Q20+U20+Y20</f>
        <v>39.9</v>
      </c>
      <c r="F20" s="40"/>
      <c r="G20" s="40">
        <f>K20+O20+S20+W20+AA20</f>
        <v>873.41100000000006</v>
      </c>
      <c r="H20" s="197"/>
      <c r="I20" s="67">
        <v>9.4</v>
      </c>
      <c r="J20" s="32">
        <v>21.89</v>
      </c>
      <c r="K20" s="32">
        <f t="shared" si="4"/>
        <v>205.76600000000002</v>
      </c>
      <c r="L20" s="197"/>
      <c r="M20" s="67">
        <v>21.5</v>
      </c>
      <c r="N20" s="32">
        <v>21.89</v>
      </c>
      <c r="O20" s="32">
        <f t="shared" si="5"/>
        <v>470.63499999999999</v>
      </c>
      <c r="P20" s="197"/>
      <c r="Q20" s="67">
        <v>0</v>
      </c>
      <c r="R20" s="32">
        <f t="shared" si="6"/>
        <v>0</v>
      </c>
      <c r="S20" s="32">
        <f t="shared" si="7"/>
        <v>0</v>
      </c>
      <c r="T20" s="197"/>
      <c r="U20" s="67">
        <v>9</v>
      </c>
      <c r="V20" s="32">
        <v>21.89</v>
      </c>
      <c r="W20" s="32">
        <f t="shared" si="8"/>
        <v>197.01</v>
      </c>
      <c r="X20" s="197"/>
      <c r="Y20" s="67">
        <v>0</v>
      </c>
      <c r="Z20" s="32">
        <f t="shared" si="9"/>
        <v>0</v>
      </c>
      <c r="AA20" s="32">
        <f t="shared" si="10"/>
        <v>0</v>
      </c>
      <c r="AC20" s="322"/>
      <c r="AD20" s="322"/>
      <c r="AE20" s="322"/>
    </row>
    <row r="21" spans="1:31" ht="15">
      <c r="A21" s="320" t="s">
        <v>20</v>
      </c>
      <c r="B21" s="321" t="s">
        <v>744</v>
      </c>
      <c r="C21" s="192" t="s">
        <v>374</v>
      </c>
      <c r="D21" s="197" t="s">
        <v>741</v>
      </c>
      <c r="E21" s="29">
        <f>I21+M21+Q21+U21+Y21</f>
        <v>42.3</v>
      </c>
      <c r="F21" s="40"/>
      <c r="G21" s="40">
        <f>K21+O21+S21+W21+AA21</f>
        <v>925.947</v>
      </c>
      <c r="H21" s="197"/>
      <c r="I21" s="67">
        <v>5.9</v>
      </c>
      <c r="J21" s="32">
        <v>21.89</v>
      </c>
      <c r="K21" s="32">
        <f t="shared" si="4"/>
        <v>129.15100000000001</v>
      </c>
      <c r="L21" s="197"/>
      <c r="M21" s="67">
        <v>26.4</v>
      </c>
      <c r="N21" s="32">
        <v>21.89</v>
      </c>
      <c r="O21" s="32">
        <f t="shared" si="5"/>
        <v>577.89599999999996</v>
      </c>
      <c r="P21" s="197"/>
      <c r="Q21" s="67">
        <v>0</v>
      </c>
      <c r="R21" s="32">
        <f t="shared" si="6"/>
        <v>0</v>
      </c>
      <c r="S21" s="32">
        <f t="shared" si="7"/>
        <v>0</v>
      </c>
      <c r="T21" s="197"/>
      <c r="U21" s="67">
        <v>10</v>
      </c>
      <c r="V21" s="32">
        <v>21.89</v>
      </c>
      <c r="W21" s="32">
        <f t="shared" si="8"/>
        <v>218.9</v>
      </c>
      <c r="X21" s="197"/>
      <c r="Y21" s="67">
        <v>0</v>
      </c>
      <c r="Z21" s="32">
        <f t="shared" si="9"/>
        <v>0</v>
      </c>
      <c r="AA21" s="32">
        <f t="shared" si="10"/>
        <v>0</v>
      </c>
      <c r="AC21" s="322"/>
      <c r="AD21" s="322"/>
      <c r="AE21" s="322"/>
    </row>
    <row r="22" spans="1:31">
      <c r="A22" s="320"/>
      <c r="B22" s="321"/>
      <c r="C22" s="192"/>
      <c r="D22" s="197"/>
      <c r="E22" s="197"/>
      <c r="F22" s="40"/>
      <c r="G22" s="40"/>
      <c r="H22" s="197"/>
      <c r="I22" s="197"/>
      <c r="J22" s="40"/>
      <c r="K22" s="40"/>
      <c r="L22" s="197"/>
      <c r="M22" s="197" t="s">
        <v>897</v>
      </c>
      <c r="N22" s="40"/>
      <c r="O22" s="40"/>
      <c r="P22" s="197"/>
      <c r="Q22" s="197"/>
      <c r="R22" s="40"/>
      <c r="S22" s="40"/>
      <c r="T22" s="197"/>
      <c r="U22" s="197"/>
      <c r="V22" s="40"/>
      <c r="W22" s="40"/>
      <c r="X22" s="197"/>
      <c r="Y22" s="197"/>
      <c r="Z22" s="40"/>
      <c r="AA22" s="40"/>
    </row>
    <row r="23" spans="1:31">
      <c r="A23" s="345"/>
      <c r="B23" s="346"/>
      <c r="C23" s="198" t="s">
        <v>745</v>
      </c>
      <c r="D23" s="68"/>
      <c r="E23" s="370"/>
      <c r="F23" s="331" t="s">
        <v>10</v>
      </c>
      <c r="G23" s="332">
        <f>K23+O23+S23+W23+AA23</f>
        <v>4045.8839999999996</v>
      </c>
      <c r="H23" s="68"/>
      <c r="I23" s="370"/>
      <c r="J23" s="331" t="s">
        <v>10</v>
      </c>
      <c r="K23" s="332">
        <f>SUM(K18:K22)</f>
        <v>753.06600000000003</v>
      </c>
      <c r="L23" s="68"/>
      <c r="M23" s="370" t="s">
        <v>897</v>
      </c>
      <c r="N23" s="331" t="s">
        <v>10</v>
      </c>
      <c r="O23" s="332">
        <f>SUM(O18:O22)</f>
        <v>2357.6379999999999</v>
      </c>
      <c r="P23" s="68"/>
      <c r="Q23" s="370"/>
      <c r="R23" s="331" t="s">
        <v>10</v>
      </c>
      <c r="S23" s="332">
        <f>SUM(S18:S22)</f>
        <v>0</v>
      </c>
      <c r="T23" s="68"/>
      <c r="U23" s="370"/>
      <c r="V23" s="331" t="s">
        <v>10</v>
      </c>
      <c r="W23" s="332">
        <f>SUM(W18:W22)</f>
        <v>935.18</v>
      </c>
      <c r="X23" s="68"/>
      <c r="Y23" s="370"/>
      <c r="Z23" s="331" t="s">
        <v>10</v>
      </c>
      <c r="AA23" s="332">
        <f>SUM(AA18:AA22)</f>
        <v>0</v>
      </c>
    </row>
    <row r="24" spans="1:31" ht="12" customHeight="1">
      <c r="A24" s="35"/>
      <c r="B24" s="27"/>
      <c r="C24" s="36"/>
      <c r="D24" s="68"/>
      <c r="E24" s="369"/>
      <c r="F24" s="33"/>
      <c r="G24" s="34"/>
      <c r="H24" s="68"/>
      <c r="I24" s="369"/>
      <c r="J24" s="33"/>
      <c r="K24" s="34"/>
      <c r="L24" s="68"/>
      <c r="M24" s="369" t="s">
        <v>897</v>
      </c>
      <c r="N24" s="33"/>
      <c r="O24" s="34"/>
      <c r="P24" s="68"/>
      <c r="Q24" s="369"/>
      <c r="R24" s="33"/>
      <c r="S24" s="34"/>
      <c r="T24" s="68"/>
      <c r="U24" s="369"/>
      <c r="V24" s="33"/>
      <c r="W24" s="34"/>
      <c r="X24" s="68"/>
      <c r="Y24" s="369"/>
      <c r="Z24" s="33"/>
      <c r="AA24" s="34"/>
    </row>
    <row r="25" spans="1:31" ht="12" customHeight="1">
      <c r="A25" s="14"/>
      <c r="B25" s="31"/>
      <c r="C25" s="28"/>
      <c r="D25" s="67"/>
      <c r="E25" s="67"/>
      <c r="F25" s="33"/>
      <c r="G25" s="34"/>
      <c r="H25" s="67"/>
      <c r="I25" s="67"/>
      <c r="J25" s="33"/>
      <c r="K25" s="34"/>
      <c r="L25" s="67"/>
      <c r="M25" s="67" t="s">
        <v>897</v>
      </c>
      <c r="N25" s="33"/>
      <c r="O25" s="34"/>
      <c r="P25" s="67"/>
      <c r="Q25" s="67"/>
      <c r="R25" s="33"/>
      <c r="S25" s="34"/>
      <c r="T25" s="67"/>
      <c r="U25" s="67"/>
      <c r="V25" s="33"/>
      <c r="W25" s="34"/>
      <c r="X25" s="67"/>
      <c r="Y25" s="67"/>
      <c r="Z25" s="33"/>
      <c r="AA25" s="34"/>
    </row>
    <row r="26" spans="1:31">
      <c r="A26" s="62" t="s">
        <v>719</v>
      </c>
      <c r="B26" s="62">
        <v>4</v>
      </c>
      <c r="C26" s="63" t="s">
        <v>514</v>
      </c>
      <c r="D26" s="64"/>
      <c r="E26" s="366"/>
      <c r="F26" s="66"/>
      <c r="G26" s="66"/>
      <c r="H26" s="64"/>
      <c r="I26" s="366"/>
      <c r="J26" s="66"/>
      <c r="K26" s="66"/>
      <c r="L26" s="64"/>
      <c r="M26" s="366" t="s">
        <v>897</v>
      </c>
      <c r="N26" s="66"/>
      <c r="O26" s="66"/>
      <c r="P26" s="64"/>
      <c r="Q26" s="366"/>
      <c r="R26" s="66"/>
      <c r="S26" s="66"/>
      <c r="T26" s="64"/>
      <c r="U26" s="366"/>
      <c r="V26" s="66"/>
      <c r="W26" s="66"/>
      <c r="X26" s="64"/>
      <c r="Y26" s="366"/>
      <c r="Z26" s="66"/>
      <c r="AA26" s="66"/>
    </row>
    <row r="27" spans="1:31">
      <c r="A27" s="320" t="s">
        <v>20</v>
      </c>
      <c r="B27" s="321" t="s">
        <v>746</v>
      </c>
      <c r="C27" s="192" t="s">
        <v>382</v>
      </c>
      <c r="D27" s="197" t="s">
        <v>70</v>
      </c>
      <c r="E27" s="29">
        <f t="shared" ref="E27:E32" si="11">I27+M27+Q27+U27+Y27</f>
        <v>30</v>
      </c>
      <c r="F27" s="40"/>
      <c r="G27" s="40">
        <f t="shared" ref="G27:G32" si="12">K27+O27+S27+W27+AA27</f>
        <v>1119.5999999999999</v>
      </c>
      <c r="H27" s="197"/>
      <c r="I27" s="67">
        <v>0</v>
      </c>
      <c r="J27" s="32">
        <f t="shared" ref="J27" si="13">$F27</f>
        <v>0</v>
      </c>
      <c r="K27" s="32">
        <f t="shared" ref="K27:K32" si="14">I27*J27</f>
        <v>0</v>
      </c>
      <c r="L27" s="197"/>
      <c r="M27" s="67">
        <v>30</v>
      </c>
      <c r="N27" s="32">
        <v>37.32</v>
      </c>
      <c r="O27" s="32">
        <f>M27*N27</f>
        <v>1119.5999999999999</v>
      </c>
      <c r="P27" s="197"/>
      <c r="Q27" s="67">
        <v>0</v>
      </c>
      <c r="R27" s="32">
        <f>$F27</f>
        <v>0</v>
      </c>
      <c r="S27" s="32">
        <f>Q27*R27</f>
        <v>0</v>
      </c>
      <c r="T27" s="197"/>
      <c r="U27" s="67">
        <v>0</v>
      </c>
      <c r="V27" s="32">
        <f>$F27</f>
        <v>0</v>
      </c>
      <c r="W27" s="32">
        <f>U27*V27</f>
        <v>0</v>
      </c>
      <c r="X27" s="197"/>
      <c r="Y27" s="67">
        <v>0</v>
      </c>
      <c r="Z27" s="32">
        <f>$F27</f>
        <v>0</v>
      </c>
      <c r="AA27" s="32">
        <f>Y27*Z27</f>
        <v>0</v>
      </c>
      <c r="AC27" s="322"/>
      <c r="AD27" s="322"/>
      <c r="AE27" s="322"/>
    </row>
    <row r="28" spans="1:31">
      <c r="A28" s="320" t="s">
        <v>20</v>
      </c>
      <c r="B28" s="321" t="s">
        <v>747</v>
      </c>
      <c r="C28" s="192" t="s">
        <v>748</v>
      </c>
      <c r="D28" s="197" t="s">
        <v>249</v>
      </c>
      <c r="E28" s="29">
        <f t="shared" si="11"/>
        <v>5</v>
      </c>
      <c r="F28" s="40"/>
      <c r="G28" s="40">
        <f t="shared" si="12"/>
        <v>1638.55</v>
      </c>
      <c r="H28" s="197"/>
      <c r="I28" s="67">
        <v>1</v>
      </c>
      <c r="J28" s="32">
        <v>327.71</v>
      </c>
      <c r="K28" s="32">
        <f>I28*J28</f>
        <v>327.71</v>
      </c>
      <c r="L28" s="197"/>
      <c r="M28" s="67">
        <v>3</v>
      </c>
      <c r="N28" s="32">
        <v>327.71</v>
      </c>
      <c r="O28" s="32">
        <f>M28*N28</f>
        <v>983.12999999999988</v>
      </c>
      <c r="P28" s="197"/>
      <c r="Q28" s="67">
        <v>0</v>
      </c>
      <c r="R28" s="32">
        <f>$F28</f>
        <v>0</v>
      </c>
      <c r="S28" s="32">
        <f>Q28*R28</f>
        <v>0</v>
      </c>
      <c r="T28" s="197"/>
      <c r="U28" s="67">
        <v>1</v>
      </c>
      <c r="V28" s="32">
        <v>327.71</v>
      </c>
      <c r="W28" s="32">
        <f>U28*V28</f>
        <v>327.71</v>
      </c>
      <c r="X28" s="197"/>
      <c r="Y28" s="67">
        <v>0</v>
      </c>
      <c r="Z28" s="32">
        <f>$F28</f>
        <v>0</v>
      </c>
      <c r="AA28" s="32">
        <f>Y28*Z28</f>
        <v>0</v>
      </c>
      <c r="AC28" s="322"/>
      <c r="AD28" s="322"/>
      <c r="AE28" s="322"/>
    </row>
    <row r="29" spans="1:31">
      <c r="A29" s="320" t="s">
        <v>20</v>
      </c>
      <c r="B29" s="321" t="s">
        <v>749</v>
      </c>
      <c r="C29" s="192" t="s">
        <v>384</v>
      </c>
      <c r="D29" s="197" t="s">
        <v>70</v>
      </c>
      <c r="E29" s="29">
        <f t="shared" si="11"/>
        <v>127</v>
      </c>
      <c r="F29" s="40"/>
      <c r="G29" s="40">
        <f t="shared" si="12"/>
        <v>5612.13</v>
      </c>
      <c r="H29" s="197"/>
      <c r="I29" s="67">
        <v>25</v>
      </c>
      <c r="J29" s="32">
        <v>44.19</v>
      </c>
      <c r="K29" s="32">
        <f t="shared" si="14"/>
        <v>1104.75</v>
      </c>
      <c r="L29" s="197"/>
      <c r="M29" s="67">
        <v>57</v>
      </c>
      <c r="N29" s="32">
        <v>44.19</v>
      </c>
      <c r="O29" s="32">
        <f t="shared" ref="O29:O32" si="15">M29*N29</f>
        <v>2518.83</v>
      </c>
      <c r="P29" s="197"/>
      <c r="Q29" s="67">
        <v>0</v>
      </c>
      <c r="R29" s="32">
        <f t="shared" ref="R29:R32" si="16">$F29</f>
        <v>0</v>
      </c>
      <c r="S29" s="32">
        <f t="shared" ref="S29:S32" si="17">Q29*R29</f>
        <v>0</v>
      </c>
      <c r="T29" s="197"/>
      <c r="U29" s="67">
        <v>45</v>
      </c>
      <c r="V29" s="32">
        <v>44.19</v>
      </c>
      <c r="W29" s="32">
        <f t="shared" ref="W29:W32" si="18">U29*V29</f>
        <v>1988.55</v>
      </c>
      <c r="X29" s="197"/>
      <c r="Y29" s="67">
        <v>0</v>
      </c>
      <c r="Z29" s="32">
        <f t="shared" ref="Z29:Z32" si="19">$F29</f>
        <v>0</v>
      </c>
      <c r="AA29" s="32">
        <f t="shared" ref="AA29:AA32" si="20">Y29*Z29</f>
        <v>0</v>
      </c>
      <c r="AC29" s="322"/>
      <c r="AD29" s="322"/>
      <c r="AE29" s="322"/>
    </row>
    <row r="30" spans="1:31">
      <c r="A30" s="320" t="s">
        <v>20</v>
      </c>
      <c r="B30" s="321" t="s">
        <v>750</v>
      </c>
      <c r="C30" s="192" t="s">
        <v>385</v>
      </c>
      <c r="D30" s="197" t="s">
        <v>70</v>
      </c>
      <c r="E30" s="29">
        <f t="shared" si="11"/>
        <v>52</v>
      </c>
      <c r="F30" s="40"/>
      <c r="G30" s="40">
        <f t="shared" si="12"/>
        <v>2154.8799999999997</v>
      </c>
      <c r="H30" s="197"/>
      <c r="I30" s="67">
        <v>6</v>
      </c>
      <c r="J30" s="32">
        <v>41.44</v>
      </c>
      <c r="K30" s="32">
        <f t="shared" si="14"/>
        <v>248.64</v>
      </c>
      <c r="L30" s="197"/>
      <c r="M30" s="67">
        <v>30</v>
      </c>
      <c r="N30" s="32">
        <v>41.44</v>
      </c>
      <c r="O30" s="32">
        <f t="shared" si="15"/>
        <v>1243.1999999999998</v>
      </c>
      <c r="P30" s="197"/>
      <c r="Q30" s="67">
        <v>0</v>
      </c>
      <c r="R30" s="32">
        <f t="shared" si="16"/>
        <v>0</v>
      </c>
      <c r="S30" s="32">
        <f t="shared" si="17"/>
        <v>0</v>
      </c>
      <c r="T30" s="197"/>
      <c r="U30" s="67">
        <v>16</v>
      </c>
      <c r="V30" s="32">
        <v>41.44</v>
      </c>
      <c r="W30" s="32">
        <f t="shared" si="18"/>
        <v>663.04</v>
      </c>
      <c r="X30" s="197"/>
      <c r="Y30" s="67">
        <v>0</v>
      </c>
      <c r="Z30" s="32">
        <f t="shared" si="19"/>
        <v>0</v>
      </c>
      <c r="AA30" s="32">
        <f t="shared" si="20"/>
        <v>0</v>
      </c>
      <c r="AC30" s="322"/>
      <c r="AD30" s="322"/>
      <c r="AE30" s="322"/>
    </row>
    <row r="31" spans="1:31">
      <c r="A31" s="320" t="s">
        <v>20</v>
      </c>
      <c r="B31" s="321" t="s">
        <v>751</v>
      </c>
      <c r="C31" s="192" t="s">
        <v>898</v>
      </c>
      <c r="D31" s="197" t="s">
        <v>70</v>
      </c>
      <c r="E31" s="29">
        <f t="shared" si="11"/>
        <v>5</v>
      </c>
      <c r="F31" s="40"/>
      <c r="G31" s="40">
        <f t="shared" si="12"/>
        <v>190</v>
      </c>
      <c r="H31" s="197"/>
      <c r="I31" s="67">
        <v>0</v>
      </c>
      <c r="J31" s="32">
        <f t="shared" ref="J31" si="21">$F31</f>
        <v>0</v>
      </c>
      <c r="K31" s="32">
        <f t="shared" si="14"/>
        <v>0</v>
      </c>
      <c r="L31" s="197"/>
      <c r="M31" s="67">
        <v>5</v>
      </c>
      <c r="N31" s="32">
        <v>38</v>
      </c>
      <c r="O31" s="32">
        <f t="shared" si="15"/>
        <v>190</v>
      </c>
      <c r="P31" s="197"/>
      <c r="Q31" s="67">
        <v>0</v>
      </c>
      <c r="R31" s="32">
        <f t="shared" si="16"/>
        <v>0</v>
      </c>
      <c r="S31" s="32">
        <f t="shared" si="17"/>
        <v>0</v>
      </c>
      <c r="T31" s="197"/>
      <c r="U31" s="67">
        <v>0</v>
      </c>
      <c r="V31" s="32">
        <f t="shared" ref="V31:V32" si="22">$F31</f>
        <v>0</v>
      </c>
      <c r="W31" s="32">
        <f t="shared" si="18"/>
        <v>0</v>
      </c>
      <c r="X31" s="197"/>
      <c r="Y31" s="67">
        <v>0</v>
      </c>
      <c r="Z31" s="32">
        <f t="shared" si="19"/>
        <v>0</v>
      </c>
      <c r="AA31" s="32">
        <f t="shared" si="20"/>
        <v>0</v>
      </c>
      <c r="AC31" s="322"/>
      <c r="AD31" s="322"/>
      <c r="AE31" s="322"/>
    </row>
    <row r="32" spans="1:31">
      <c r="A32" s="320" t="s">
        <v>20</v>
      </c>
      <c r="B32" s="321" t="s">
        <v>753</v>
      </c>
      <c r="C32" s="192" t="s">
        <v>752</v>
      </c>
      <c r="D32" s="197" t="s">
        <v>69</v>
      </c>
      <c r="E32" s="29">
        <f t="shared" si="11"/>
        <v>4</v>
      </c>
      <c r="F32" s="40"/>
      <c r="G32" s="40">
        <f t="shared" si="12"/>
        <v>1454.64</v>
      </c>
      <c r="H32" s="197"/>
      <c r="I32" s="67">
        <v>1</v>
      </c>
      <c r="J32" s="32">
        <v>363.66</v>
      </c>
      <c r="K32" s="32">
        <f t="shared" si="14"/>
        <v>363.66</v>
      </c>
      <c r="L32" s="197"/>
      <c r="M32" s="67">
        <v>3</v>
      </c>
      <c r="N32" s="32">
        <v>363.66</v>
      </c>
      <c r="O32" s="32">
        <f t="shared" si="15"/>
        <v>1090.98</v>
      </c>
      <c r="P32" s="197"/>
      <c r="Q32" s="67">
        <v>0</v>
      </c>
      <c r="R32" s="32">
        <f t="shared" si="16"/>
        <v>0</v>
      </c>
      <c r="S32" s="32">
        <f t="shared" si="17"/>
        <v>0</v>
      </c>
      <c r="T32" s="197"/>
      <c r="U32" s="67">
        <v>0</v>
      </c>
      <c r="V32" s="32">
        <f t="shared" si="22"/>
        <v>0</v>
      </c>
      <c r="W32" s="32">
        <f t="shared" si="18"/>
        <v>0</v>
      </c>
      <c r="X32" s="197"/>
      <c r="Y32" s="67">
        <v>0</v>
      </c>
      <c r="Z32" s="32">
        <f t="shared" si="19"/>
        <v>0</v>
      </c>
      <c r="AA32" s="32">
        <f t="shared" si="20"/>
        <v>0</v>
      </c>
      <c r="AC32" s="322"/>
      <c r="AD32" s="322"/>
      <c r="AE32" s="322"/>
    </row>
    <row r="33" spans="1:31">
      <c r="A33" s="320" t="s">
        <v>20</v>
      </c>
      <c r="B33" s="321" t="s">
        <v>757</v>
      </c>
      <c r="C33" s="192" t="s">
        <v>754</v>
      </c>
      <c r="D33" s="197"/>
      <c r="E33" s="29"/>
      <c r="F33" s="40"/>
      <c r="G33" s="40"/>
      <c r="H33" s="197"/>
      <c r="I33" s="197"/>
      <c r="J33" s="40"/>
      <c r="K33" s="40"/>
      <c r="L33" s="197"/>
      <c r="M33" s="197" t="s">
        <v>897</v>
      </c>
      <c r="N33" s="40"/>
      <c r="O33" s="40"/>
      <c r="P33" s="197"/>
      <c r="Q33" s="197"/>
      <c r="R33" s="40"/>
      <c r="S33" s="40"/>
      <c r="T33" s="197"/>
      <c r="U33" s="197"/>
      <c r="V33" s="40"/>
      <c r="W33" s="40"/>
      <c r="X33" s="197"/>
      <c r="Y33" s="197"/>
      <c r="Z33" s="40"/>
      <c r="AA33" s="40"/>
      <c r="AC33" s="322"/>
      <c r="AD33" s="322"/>
      <c r="AE33" s="322"/>
    </row>
    <row r="34" spans="1:31">
      <c r="A34" s="320"/>
      <c r="B34" s="321"/>
      <c r="C34" s="347" t="s">
        <v>755</v>
      </c>
      <c r="D34" s="197" t="s">
        <v>69</v>
      </c>
      <c r="E34" s="29">
        <f>I34+M34+Q34+U34+Y34</f>
        <v>1</v>
      </c>
      <c r="F34" s="40"/>
      <c r="G34" s="40">
        <f>K34+O34+S34+W34+AA34</f>
        <v>1002.03</v>
      </c>
      <c r="H34" s="197"/>
      <c r="I34" s="67">
        <v>0</v>
      </c>
      <c r="J34" s="32">
        <f t="shared" ref="J34:J37" si="23">$F34</f>
        <v>0</v>
      </c>
      <c r="K34" s="32">
        <f t="shared" ref="K34:K37" si="24">I34*J34</f>
        <v>0</v>
      </c>
      <c r="L34" s="197"/>
      <c r="M34" s="67">
        <v>0</v>
      </c>
      <c r="N34" s="32">
        <f t="shared" ref="N34" si="25">$F34</f>
        <v>0</v>
      </c>
      <c r="O34" s="32">
        <f t="shared" ref="O34:O37" si="26">M34*N34</f>
        <v>0</v>
      </c>
      <c r="P34" s="197"/>
      <c r="Q34" s="67">
        <v>0</v>
      </c>
      <c r="R34" s="32">
        <f t="shared" ref="R34:R37" si="27">$F34</f>
        <v>0</v>
      </c>
      <c r="S34" s="32">
        <f t="shared" ref="S34:S37" si="28">Q34*R34</f>
        <v>0</v>
      </c>
      <c r="T34" s="197"/>
      <c r="U34" s="67">
        <v>1</v>
      </c>
      <c r="V34" s="32">
        <v>1002.03</v>
      </c>
      <c r="W34" s="32">
        <f t="shared" ref="W34:W37" si="29">U34*V34</f>
        <v>1002.03</v>
      </c>
      <c r="X34" s="197"/>
      <c r="Y34" s="67">
        <v>0</v>
      </c>
      <c r="Z34" s="32">
        <f t="shared" ref="Z34:Z37" si="30">$F34</f>
        <v>0</v>
      </c>
      <c r="AA34" s="32">
        <f t="shared" ref="AA34:AA37" si="31">Y34*Z34</f>
        <v>0</v>
      </c>
      <c r="AC34" s="322"/>
      <c r="AD34" s="322"/>
      <c r="AE34" s="322"/>
    </row>
    <row r="35" spans="1:31">
      <c r="A35" s="320"/>
      <c r="B35" s="321"/>
      <c r="C35" s="347" t="s">
        <v>756</v>
      </c>
      <c r="D35" s="197" t="s">
        <v>69</v>
      </c>
      <c r="E35" s="29">
        <f>I35+M35+Q35+U35+Y35</f>
        <v>4</v>
      </c>
      <c r="F35" s="40"/>
      <c r="G35" s="40">
        <f>K35+O35+S35+W35+AA35</f>
        <v>4008.12</v>
      </c>
      <c r="H35" s="197"/>
      <c r="I35" s="67">
        <v>0</v>
      </c>
      <c r="J35" s="32">
        <f t="shared" si="23"/>
        <v>0</v>
      </c>
      <c r="K35" s="32">
        <f t="shared" si="24"/>
        <v>0</v>
      </c>
      <c r="L35" s="197"/>
      <c r="M35" s="67">
        <v>2</v>
      </c>
      <c r="N35" s="32">
        <v>1002.03</v>
      </c>
      <c r="O35" s="32">
        <f t="shared" si="26"/>
        <v>2004.06</v>
      </c>
      <c r="P35" s="197"/>
      <c r="Q35" s="67">
        <v>0</v>
      </c>
      <c r="R35" s="32">
        <f t="shared" si="27"/>
        <v>0</v>
      </c>
      <c r="S35" s="32">
        <f t="shared" si="28"/>
        <v>0</v>
      </c>
      <c r="T35" s="197"/>
      <c r="U35" s="67">
        <v>2</v>
      </c>
      <c r="V35" s="32">
        <v>1002.03</v>
      </c>
      <c r="W35" s="32">
        <f t="shared" si="29"/>
        <v>2004.06</v>
      </c>
      <c r="X35" s="197"/>
      <c r="Y35" s="67">
        <v>0</v>
      </c>
      <c r="Z35" s="32">
        <f t="shared" si="30"/>
        <v>0</v>
      </c>
      <c r="AA35" s="32">
        <f t="shared" si="31"/>
        <v>0</v>
      </c>
      <c r="AC35" s="322"/>
      <c r="AD35" s="322"/>
      <c r="AE35" s="322"/>
    </row>
    <row r="36" spans="1:31">
      <c r="A36" s="320" t="s">
        <v>20</v>
      </c>
      <c r="B36" s="321" t="s">
        <v>758</v>
      </c>
      <c r="C36" s="192" t="s">
        <v>387</v>
      </c>
      <c r="D36" s="197" t="s">
        <v>70</v>
      </c>
      <c r="E36" s="29">
        <f>I36+M36+Q36+U36+Y36</f>
        <v>4</v>
      </c>
      <c r="F36" s="40"/>
      <c r="G36" s="40">
        <f>K36+O36+S36+W36+AA36</f>
        <v>1509.64</v>
      </c>
      <c r="H36" s="197"/>
      <c r="I36" s="67">
        <v>0</v>
      </c>
      <c r="J36" s="32">
        <f t="shared" si="23"/>
        <v>0</v>
      </c>
      <c r="K36" s="32">
        <f t="shared" si="24"/>
        <v>0</v>
      </c>
      <c r="L36" s="197"/>
      <c r="M36" s="67">
        <v>4</v>
      </c>
      <c r="N36" s="32">
        <v>377.41</v>
      </c>
      <c r="O36" s="32">
        <f t="shared" si="26"/>
        <v>1509.64</v>
      </c>
      <c r="P36" s="197"/>
      <c r="Q36" s="67">
        <v>0</v>
      </c>
      <c r="R36" s="32">
        <f t="shared" si="27"/>
        <v>0</v>
      </c>
      <c r="S36" s="32">
        <f t="shared" si="28"/>
        <v>0</v>
      </c>
      <c r="T36" s="197"/>
      <c r="U36" s="67">
        <v>0</v>
      </c>
      <c r="V36" s="32">
        <f t="shared" ref="V36:V37" si="32">$F36</f>
        <v>0</v>
      </c>
      <c r="W36" s="32">
        <f t="shared" si="29"/>
        <v>0</v>
      </c>
      <c r="X36" s="197"/>
      <c r="Y36" s="67">
        <v>0</v>
      </c>
      <c r="Z36" s="32">
        <f t="shared" si="30"/>
        <v>0</v>
      </c>
      <c r="AA36" s="32">
        <f t="shared" si="31"/>
        <v>0</v>
      </c>
      <c r="AC36" s="322"/>
      <c r="AD36" s="322"/>
      <c r="AE36" s="322"/>
    </row>
    <row r="37" spans="1:31">
      <c r="A37" s="320" t="s">
        <v>20</v>
      </c>
      <c r="B37" s="321" t="s">
        <v>899</v>
      </c>
      <c r="C37" s="192" t="s">
        <v>515</v>
      </c>
      <c r="D37" s="197" t="s">
        <v>69</v>
      </c>
      <c r="E37" s="29">
        <f>I37+M37+Q37+U37+Y37</f>
        <v>1</v>
      </c>
      <c r="F37" s="40"/>
      <c r="G37" s="40">
        <f>K37+O37+S37+W37+AA37</f>
        <v>226.16</v>
      </c>
      <c r="H37" s="197"/>
      <c r="I37" s="67">
        <v>0</v>
      </c>
      <c r="J37" s="32">
        <f t="shared" si="23"/>
        <v>0</v>
      </c>
      <c r="K37" s="32">
        <f t="shared" si="24"/>
        <v>0</v>
      </c>
      <c r="L37" s="197"/>
      <c r="M37" s="67">
        <v>1</v>
      </c>
      <c r="N37" s="32">
        <v>226.16</v>
      </c>
      <c r="O37" s="32">
        <f t="shared" si="26"/>
        <v>226.16</v>
      </c>
      <c r="P37" s="197"/>
      <c r="Q37" s="67">
        <v>0</v>
      </c>
      <c r="R37" s="32">
        <f t="shared" si="27"/>
        <v>0</v>
      </c>
      <c r="S37" s="32">
        <f t="shared" si="28"/>
        <v>0</v>
      </c>
      <c r="T37" s="197"/>
      <c r="U37" s="67">
        <v>0</v>
      </c>
      <c r="V37" s="32">
        <f t="shared" si="32"/>
        <v>0</v>
      </c>
      <c r="W37" s="32">
        <f t="shared" si="29"/>
        <v>0</v>
      </c>
      <c r="X37" s="197"/>
      <c r="Y37" s="67">
        <v>0</v>
      </c>
      <c r="Z37" s="32">
        <f t="shared" si="30"/>
        <v>0</v>
      </c>
      <c r="AA37" s="32">
        <f t="shared" si="31"/>
        <v>0</v>
      </c>
      <c r="AB37" s="322"/>
    </row>
    <row r="38" spans="1:31">
      <c r="A38" s="320"/>
      <c r="B38" s="321"/>
      <c r="C38" s="192"/>
      <c r="D38" s="197"/>
      <c r="E38" s="197"/>
      <c r="F38" s="40"/>
      <c r="G38" s="40"/>
      <c r="H38" s="197"/>
      <c r="I38" s="197"/>
      <c r="J38" s="40"/>
      <c r="K38" s="40"/>
      <c r="L38" s="197"/>
      <c r="M38" s="197" t="s">
        <v>897</v>
      </c>
      <c r="N38" s="40"/>
      <c r="O38" s="40"/>
      <c r="P38" s="197"/>
      <c r="Q38" s="197"/>
      <c r="R38" s="40"/>
      <c r="S38" s="40"/>
      <c r="T38" s="197"/>
      <c r="U38" s="197"/>
      <c r="V38" s="40"/>
      <c r="W38" s="40"/>
      <c r="X38" s="197"/>
      <c r="Y38" s="197"/>
      <c r="Z38" s="40"/>
      <c r="AA38" s="40"/>
    </row>
    <row r="39" spans="1:31">
      <c r="A39" s="345"/>
      <c r="B39" s="346"/>
      <c r="C39" s="198" t="s">
        <v>516</v>
      </c>
      <c r="D39" s="68"/>
      <c r="E39" s="370"/>
      <c r="F39" s="331" t="s">
        <v>10</v>
      </c>
      <c r="G39" s="332">
        <f>K39+O39+S39+W39+AA39</f>
        <v>18915.75</v>
      </c>
      <c r="H39" s="68"/>
      <c r="I39" s="370"/>
      <c r="J39" s="331" t="s">
        <v>10</v>
      </c>
      <c r="K39" s="332">
        <f>SUM(K26:K38)</f>
        <v>2044.76</v>
      </c>
      <c r="L39" s="68"/>
      <c r="M39" s="370" t="s">
        <v>897</v>
      </c>
      <c r="N39" s="331" t="s">
        <v>10</v>
      </c>
      <c r="O39" s="332">
        <f>SUM(O27:O38)</f>
        <v>10885.599999999999</v>
      </c>
      <c r="P39" s="68"/>
      <c r="Q39" s="370"/>
      <c r="R39" s="331" t="s">
        <v>10</v>
      </c>
      <c r="S39" s="332">
        <f>SUM(S26:S38)</f>
        <v>0</v>
      </c>
      <c r="T39" s="68"/>
      <c r="U39" s="370"/>
      <c r="V39" s="331" t="s">
        <v>10</v>
      </c>
      <c r="W39" s="332">
        <f>SUM(W26:W38)</f>
        <v>5985.3899999999994</v>
      </c>
      <c r="X39" s="68"/>
      <c r="Y39" s="370"/>
      <c r="Z39" s="331" t="s">
        <v>10</v>
      </c>
      <c r="AA39" s="332">
        <f>SUM(AA26:AA38)</f>
        <v>0</v>
      </c>
    </row>
    <row r="40" spans="1:31" ht="12" customHeight="1">
      <c r="A40" s="345"/>
      <c r="B40" s="346"/>
      <c r="C40" s="349"/>
      <c r="D40" s="68"/>
      <c r="E40" s="370"/>
      <c r="F40" s="331"/>
      <c r="G40" s="332"/>
      <c r="H40" s="68"/>
      <c r="I40" s="370"/>
      <c r="J40" s="331"/>
      <c r="K40" s="332"/>
      <c r="L40" s="68"/>
      <c r="M40" s="370" t="s">
        <v>897</v>
      </c>
      <c r="N40" s="331"/>
      <c r="O40" s="332"/>
      <c r="P40" s="68"/>
      <c r="Q40" s="370"/>
      <c r="R40" s="331"/>
      <c r="S40" s="332"/>
      <c r="T40" s="68"/>
      <c r="U40" s="370"/>
      <c r="V40" s="331"/>
      <c r="W40" s="332"/>
      <c r="X40" s="68"/>
      <c r="Y40" s="370"/>
      <c r="Z40" s="331"/>
      <c r="AA40" s="332"/>
    </row>
    <row r="41" spans="1:31" ht="12" customHeight="1">
      <c r="A41" s="35"/>
      <c r="B41" s="27"/>
      <c r="C41" s="36"/>
      <c r="D41" s="68"/>
      <c r="E41" s="369"/>
      <c r="F41" s="33"/>
      <c r="G41" s="34"/>
      <c r="H41" s="68"/>
      <c r="I41" s="369"/>
      <c r="J41" s="33"/>
      <c r="K41" s="34"/>
      <c r="L41" s="68"/>
      <c r="M41" s="369" t="s">
        <v>897</v>
      </c>
      <c r="N41" s="33"/>
      <c r="O41" s="34"/>
      <c r="P41" s="68"/>
      <c r="Q41" s="369"/>
      <c r="R41" s="33"/>
      <c r="S41" s="34"/>
      <c r="T41" s="68"/>
      <c r="U41" s="369"/>
      <c r="V41" s="33"/>
      <c r="W41" s="34"/>
      <c r="X41" s="68"/>
      <c r="Y41" s="369"/>
      <c r="Z41" s="33"/>
      <c r="AA41" s="34"/>
    </row>
    <row r="42" spans="1:31">
      <c r="A42" s="62" t="s">
        <v>719</v>
      </c>
      <c r="B42" s="62">
        <v>5</v>
      </c>
      <c r="C42" s="63" t="s">
        <v>523</v>
      </c>
      <c r="D42" s="64"/>
      <c r="E42" s="366"/>
      <c r="F42" s="66"/>
      <c r="G42" s="66"/>
      <c r="H42" s="64"/>
      <c r="I42" s="366"/>
      <c r="J42" s="66"/>
      <c r="K42" s="66"/>
      <c r="L42" s="64"/>
      <c r="M42" s="366" t="s">
        <v>897</v>
      </c>
      <c r="N42" s="66"/>
      <c r="O42" s="66"/>
      <c r="P42" s="64"/>
      <c r="Q42" s="366"/>
      <c r="R42" s="66"/>
      <c r="S42" s="66"/>
      <c r="T42" s="64"/>
      <c r="U42" s="366"/>
      <c r="V42" s="66"/>
      <c r="W42" s="66"/>
      <c r="X42" s="64"/>
      <c r="Y42" s="366"/>
      <c r="Z42" s="66"/>
      <c r="AA42" s="66"/>
    </row>
    <row r="43" spans="1:31">
      <c r="A43" s="320" t="s">
        <v>20</v>
      </c>
      <c r="B43" s="321" t="s">
        <v>760</v>
      </c>
      <c r="C43" s="192" t="s">
        <v>761</v>
      </c>
      <c r="D43" s="197" t="s">
        <v>69</v>
      </c>
      <c r="E43" s="29">
        <f>I43+M43+Q43+U43+Y43</f>
        <v>12</v>
      </c>
      <c r="F43" s="40"/>
      <c r="G43" s="40">
        <f>K43+O43+S43+W43+AA43</f>
        <v>470.88</v>
      </c>
      <c r="H43" s="197"/>
      <c r="I43" s="67">
        <v>0</v>
      </c>
      <c r="J43" s="32">
        <f t="shared" ref="J43" si="33">$F43</f>
        <v>0</v>
      </c>
      <c r="K43" s="32">
        <f t="shared" ref="K43:K44" si="34">I43*J43</f>
        <v>0</v>
      </c>
      <c r="L43" s="197"/>
      <c r="M43" s="67">
        <v>12</v>
      </c>
      <c r="N43" s="32">
        <v>39.24</v>
      </c>
      <c r="O43" s="32">
        <f t="shared" ref="O43:O44" si="35">M43*N43</f>
        <v>470.88</v>
      </c>
      <c r="P43" s="197"/>
      <c r="Q43" s="67">
        <v>0</v>
      </c>
      <c r="R43" s="32">
        <f t="shared" ref="R43:R44" si="36">$F43</f>
        <v>0</v>
      </c>
      <c r="S43" s="32">
        <f t="shared" ref="S43:S44" si="37">Q43*R43</f>
        <v>0</v>
      </c>
      <c r="T43" s="197"/>
      <c r="U43" s="67">
        <v>0</v>
      </c>
      <c r="V43" s="32">
        <f t="shared" ref="V43" si="38">$F43</f>
        <v>0</v>
      </c>
      <c r="W43" s="32">
        <f t="shared" ref="W43:W44" si="39">U43*V43</f>
        <v>0</v>
      </c>
      <c r="X43" s="197"/>
      <c r="Y43" s="67">
        <v>0</v>
      </c>
      <c r="Z43" s="32">
        <f t="shared" ref="Z43:Z44" si="40">$F43</f>
        <v>0</v>
      </c>
      <c r="AA43" s="32">
        <f t="shared" ref="AA43:AA44" si="41">Y43*Z43</f>
        <v>0</v>
      </c>
    </row>
    <row r="44" spans="1:31">
      <c r="A44" s="320" t="s">
        <v>20</v>
      </c>
      <c r="B44" s="321" t="s">
        <v>762</v>
      </c>
      <c r="C44" s="192" t="s">
        <v>763</v>
      </c>
      <c r="D44" s="197" t="s">
        <v>69</v>
      </c>
      <c r="E44" s="29">
        <f>I44+M44+Q44+U44+Y44</f>
        <v>55</v>
      </c>
      <c r="F44" s="40"/>
      <c r="G44" s="40">
        <f>K44+O44+S44+W44+AA44</f>
        <v>3708.6500000000005</v>
      </c>
      <c r="H44" s="197"/>
      <c r="I44" s="67">
        <v>12</v>
      </c>
      <c r="J44" s="32">
        <v>67.430000000000007</v>
      </c>
      <c r="K44" s="32">
        <f t="shared" si="34"/>
        <v>809.16000000000008</v>
      </c>
      <c r="L44" s="197"/>
      <c r="M44" s="67">
        <v>26</v>
      </c>
      <c r="N44" s="32">
        <v>67.430000000000007</v>
      </c>
      <c r="O44" s="32">
        <f t="shared" si="35"/>
        <v>1753.1800000000003</v>
      </c>
      <c r="P44" s="197"/>
      <c r="Q44" s="67">
        <v>0</v>
      </c>
      <c r="R44" s="32">
        <f t="shared" si="36"/>
        <v>0</v>
      </c>
      <c r="S44" s="32">
        <f t="shared" si="37"/>
        <v>0</v>
      </c>
      <c r="T44" s="197"/>
      <c r="U44" s="67">
        <v>17</v>
      </c>
      <c r="V44" s="32">
        <v>67.430000000000007</v>
      </c>
      <c r="W44" s="32">
        <f t="shared" si="39"/>
        <v>1146.3100000000002</v>
      </c>
      <c r="X44" s="197"/>
      <c r="Y44" s="67">
        <v>0</v>
      </c>
      <c r="Z44" s="32">
        <f t="shared" si="40"/>
        <v>0</v>
      </c>
      <c r="AA44" s="32">
        <f t="shared" si="41"/>
        <v>0</v>
      </c>
    </row>
    <row r="45" spans="1:31">
      <c r="A45" s="320" t="s">
        <v>20</v>
      </c>
      <c r="B45" s="321" t="s">
        <v>764</v>
      </c>
      <c r="C45" s="192" t="s">
        <v>535</v>
      </c>
      <c r="D45" s="197"/>
      <c r="E45" s="29"/>
      <c r="F45" s="40"/>
      <c r="G45" s="40"/>
      <c r="H45" s="197"/>
      <c r="I45" s="370"/>
      <c r="J45" s="40"/>
      <c r="K45" s="40"/>
      <c r="L45" s="197"/>
      <c r="M45" s="370" t="s">
        <v>897</v>
      </c>
      <c r="N45" s="40"/>
      <c r="O45" s="40"/>
      <c r="P45" s="197"/>
      <c r="Q45" s="370"/>
      <c r="R45" s="40"/>
      <c r="S45" s="40"/>
      <c r="T45" s="197"/>
      <c r="U45" s="370"/>
      <c r="V45" s="40"/>
      <c r="W45" s="40"/>
      <c r="X45" s="197"/>
      <c r="Y45" s="370"/>
      <c r="Z45" s="40"/>
      <c r="AA45" s="40"/>
    </row>
    <row r="46" spans="1:31">
      <c r="A46" s="320"/>
      <c r="B46" s="321"/>
      <c r="C46" s="351" t="s">
        <v>765</v>
      </c>
      <c r="D46" s="197" t="s">
        <v>11</v>
      </c>
      <c r="E46" s="29">
        <f t="shared" ref="E46:E56" si="42">I46+M46+Q46+U46+Y46</f>
        <v>264.89999999999998</v>
      </c>
      <c r="F46" s="40"/>
      <c r="G46" s="40">
        <f t="shared" ref="G46:G56" si="43">K46+O46+S46+W46+AA46</f>
        <v>17319.162</v>
      </c>
      <c r="H46" s="197"/>
      <c r="I46" s="67">
        <v>0</v>
      </c>
      <c r="J46" s="32">
        <f t="shared" ref="J46:J56" si="44">$F46</f>
        <v>0</v>
      </c>
      <c r="K46" s="32">
        <f t="shared" ref="K46:K56" si="45">I46*J46</f>
        <v>0</v>
      </c>
      <c r="L46" s="197"/>
      <c r="M46" s="67">
        <v>75.900000000000006</v>
      </c>
      <c r="N46" s="32">
        <v>65.38</v>
      </c>
      <c r="O46" s="32">
        <f t="shared" ref="O46:O56" si="46">M46*N46</f>
        <v>4962.3419999999996</v>
      </c>
      <c r="P46" s="197"/>
      <c r="Q46" s="67">
        <v>0</v>
      </c>
      <c r="R46" s="32">
        <f t="shared" ref="R46:R56" si="47">$F46</f>
        <v>0</v>
      </c>
      <c r="S46" s="32">
        <f t="shared" ref="S46:S56" si="48">Q46*R46</f>
        <v>0</v>
      </c>
      <c r="T46" s="197"/>
      <c r="U46" s="67">
        <v>189</v>
      </c>
      <c r="V46" s="32">
        <v>65.38</v>
      </c>
      <c r="W46" s="32">
        <f t="shared" ref="W46:W56" si="49">U46*V46</f>
        <v>12356.82</v>
      </c>
      <c r="X46" s="197"/>
      <c r="Y46" s="67">
        <v>0</v>
      </c>
      <c r="Z46" s="32">
        <f t="shared" ref="Z46:Z56" si="50">$F46</f>
        <v>0</v>
      </c>
      <c r="AA46" s="32">
        <f t="shared" ref="AA46:AA56" si="51">Y46*Z46</f>
        <v>0</v>
      </c>
    </row>
    <row r="47" spans="1:31">
      <c r="A47" s="320"/>
      <c r="B47" s="321"/>
      <c r="C47" s="351" t="s">
        <v>766</v>
      </c>
      <c r="D47" s="197" t="s">
        <v>11</v>
      </c>
      <c r="E47" s="29">
        <f t="shared" si="42"/>
        <v>507</v>
      </c>
      <c r="F47" s="40"/>
      <c r="G47" s="40">
        <f t="shared" si="43"/>
        <v>39469.949999999997</v>
      </c>
      <c r="H47" s="197"/>
      <c r="I47" s="67">
        <v>193</v>
      </c>
      <c r="J47" s="32">
        <v>77.849999999999994</v>
      </c>
      <c r="K47" s="32">
        <f t="shared" si="45"/>
        <v>15025.05</v>
      </c>
      <c r="L47" s="197"/>
      <c r="M47" s="67">
        <v>314</v>
      </c>
      <c r="N47" s="32">
        <v>77.849999999999994</v>
      </c>
      <c r="O47" s="32">
        <f t="shared" si="46"/>
        <v>24444.899999999998</v>
      </c>
      <c r="P47" s="197"/>
      <c r="Q47" s="67">
        <v>0</v>
      </c>
      <c r="R47" s="32">
        <f t="shared" si="47"/>
        <v>0</v>
      </c>
      <c r="S47" s="32">
        <f t="shared" si="48"/>
        <v>0</v>
      </c>
      <c r="T47" s="197"/>
      <c r="U47" s="67">
        <v>0</v>
      </c>
      <c r="V47" s="32">
        <f t="shared" ref="V47:V55" si="52">$F47</f>
        <v>0</v>
      </c>
      <c r="W47" s="32">
        <f t="shared" si="49"/>
        <v>0</v>
      </c>
      <c r="X47" s="197"/>
      <c r="Y47" s="67">
        <v>0</v>
      </c>
      <c r="Z47" s="32">
        <f t="shared" si="50"/>
        <v>0</v>
      </c>
      <c r="AA47" s="32">
        <f t="shared" si="51"/>
        <v>0</v>
      </c>
    </row>
    <row r="48" spans="1:31">
      <c r="C48" s="351" t="s">
        <v>536</v>
      </c>
      <c r="D48" s="197" t="s">
        <v>11</v>
      </c>
      <c r="E48" s="29">
        <f t="shared" si="42"/>
        <v>771.9</v>
      </c>
      <c r="F48" s="40"/>
      <c r="G48" s="40">
        <f t="shared" si="43"/>
        <v>4657.1409999999996</v>
      </c>
      <c r="H48" s="197"/>
      <c r="I48" s="67">
        <v>193</v>
      </c>
      <c r="J48" s="32">
        <v>6.69</v>
      </c>
      <c r="K48" s="32">
        <f t="shared" si="45"/>
        <v>1291.17</v>
      </c>
      <c r="L48" s="197"/>
      <c r="M48" s="67">
        <v>389.9</v>
      </c>
      <c r="N48" s="32">
        <v>5.39</v>
      </c>
      <c r="O48" s="32">
        <f t="shared" si="46"/>
        <v>2101.5609999999997</v>
      </c>
      <c r="P48" s="197"/>
      <c r="Q48" s="67">
        <v>0</v>
      </c>
      <c r="R48" s="32">
        <f t="shared" si="47"/>
        <v>0</v>
      </c>
      <c r="S48" s="32">
        <f t="shared" si="48"/>
        <v>0</v>
      </c>
      <c r="T48" s="197"/>
      <c r="U48" s="67">
        <v>189</v>
      </c>
      <c r="V48" s="32">
        <v>6.69</v>
      </c>
      <c r="W48" s="32">
        <f t="shared" si="49"/>
        <v>1264.4100000000001</v>
      </c>
      <c r="X48" s="197"/>
      <c r="Y48" s="67">
        <v>0</v>
      </c>
      <c r="Z48" s="32">
        <f t="shared" si="50"/>
        <v>0</v>
      </c>
      <c r="AA48" s="32">
        <f t="shared" si="51"/>
        <v>0</v>
      </c>
    </row>
    <row r="49" spans="1:27">
      <c r="A49" s="345"/>
      <c r="B49" s="346"/>
      <c r="C49" s="351" t="s">
        <v>767</v>
      </c>
      <c r="D49" s="197" t="s">
        <v>11</v>
      </c>
      <c r="E49" s="29">
        <f t="shared" si="42"/>
        <v>12.5</v>
      </c>
      <c r="F49" s="40"/>
      <c r="G49" s="40">
        <f t="shared" si="43"/>
        <v>1134.375</v>
      </c>
      <c r="H49" s="197"/>
      <c r="I49" s="67">
        <v>0</v>
      </c>
      <c r="J49" s="32">
        <f t="shared" si="44"/>
        <v>0</v>
      </c>
      <c r="K49" s="32">
        <f t="shared" si="45"/>
        <v>0</v>
      </c>
      <c r="L49" s="197"/>
      <c r="M49" s="67">
        <v>12.5</v>
      </c>
      <c r="N49" s="32">
        <v>90.75</v>
      </c>
      <c r="O49" s="32">
        <f t="shared" si="46"/>
        <v>1134.375</v>
      </c>
      <c r="P49" s="197"/>
      <c r="Q49" s="67">
        <v>0</v>
      </c>
      <c r="R49" s="32">
        <f t="shared" si="47"/>
        <v>0</v>
      </c>
      <c r="S49" s="32">
        <f t="shared" si="48"/>
        <v>0</v>
      </c>
      <c r="T49" s="197"/>
      <c r="U49" s="67">
        <v>0</v>
      </c>
      <c r="V49" s="32">
        <f t="shared" si="52"/>
        <v>0</v>
      </c>
      <c r="W49" s="32">
        <f t="shared" si="49"/>
        <v>0</v>
      </c>
      <c r="X49" s="197"/>
      <c r="Y49" s="67">
        <v>0</v>
      </c>
      <c r="Z49" s="32">
        <f t="shared" si="50"/>
        <v>0</v>
      </c>
      <c r="AA49" s="32">
        <f t="shared" si="51"/>
        <v>0</v>
      </c>
    </row>
    <row r="50" spans="1:27">
      <c r="A50" s="345"/>
      <c r="B50" s="346"/>
      <c r="C50" s="351" t="s">
        <v>768</v>
      </c>
      <c r="D50" s="197" t="s">
        <v>769</v>
      </c>
      <c r="E50" s="29">
        <f t="shared" si="42"/>
        <v>1</v>
      </c>
      <c r="F50" s="40"/>
      <c r="G50" s="40">
        <f t="shared" si="43"/>
        <v>798.8</v>
      </c>
      <c r="H50" s="197"/>
      <c r="I50" s="67">
        <v>0</v>
      </c>
      <c r="J50" s="32">
        <f t="shared" si="44"/>
        <v>0</v>
      </c>
      <c r="K50" s="32">
        <f t="shared" si="45"/>
        <v>0</v>
      </c>
      <c r="L50" s="197"/>
      <c r="M50" s="67">
        <v>1</v>
      </c>
      <c r="N50" s="32">
        <v>798.8</v>
      </c>
      <c r="O50" s="32">
        <f t="shared" si="46"/>
        <v>798.8</v>
      </c>
      <c r="P50" s="197"/>
      <c r="Q50" s="67">
        <v>0</v>
      </c>
      <c r="R50" s="32">
        <f t="shared" si="47"/>
        <v>0</v>
      </c>
      <c r="S50" s="32">
        <f t="shared" si="48"/>
        <v>0</v>
      </c>
      <c r="T50" s="197"/>
      <c r="U50" s="67">
        <v>0</v>
      </c>
      <c r="V50" s="32">
        <f t="shared" si="52"/>
        <v>0</v>
      </c>
      <c r="W50" s="32">
        <f t="shared" si="49"/>
        <v>0</v>
      </c>
      <c r="X50" s="197"/>
      <c r="Y50" s="67">
        <v>0</v>
      </c>
      <c r="Z50" s="32">
        <f t="shared" si="50"/>
        <v>0</v>
      </c>
      <c r="AA50" s="32">
        <f t="shared" si="51"/>
        <v>0</v>
      </c>
    </row>
    <row r="51" spans="1:27">
      <c r="A51" s="320" t="s">
        <v>20</v>
      </c>
      <c r="B51" s="321" t="s">
        <v>770</v>
      </c>
      <c r="C51" s="192" t="s">
        <v>828</v>
      </c>
      <c r="D51" s="197" t="s">
        <v>11</v>
      </c>
      <c r="E51" s="29">
        <f t="shared" si="42"/>
        <v>229.3</v>
      </c>
      <c r="F51" s="40"/>
      <c r="G51" s="40">
        <f t="shared" si="43"/>
        <v>18382.981</v>
      </c>
      <c r="H51" s="197"/>
      <c r="I51" s="67">
        <v>0</v>
      </c>
      <c r="J51" s="32">
        <f t="shared" si="44"/>
        <v>0</v>
      </c>
      <c r="K51" s="32">
        <f t="shared" si="45"/>
        <v>0</v>
      </c>
      <c r="L51" s="197"/>
      <c r="M51" s="67">
        <v>64.3</v>
      </c>
      <c r="N51" s="32">
        <v>80.17</v>
      </c>
      <c r="O51" s="32">
        <f t="shared" si="46"/>
        <v>5154.9309999999996</v>
      </c>
      <c r="P51" s="197"/>
      <c r="Q51" s="67">
        <v>0</v>
      </c>
      <c r="R51" s="32">
        <f t="shared" si="47"/>
        <v>0</v>
      </c>
      <c r="S51" s="32">
        <f t="shared" si="48"/>
        <v>0</v>
      </c>
      <c r="T51" s="197"/>
      <c r="U51" s="67">
        <v>165</v>
      </c>
      <c r="V51" s="32">
        <v>80.17</v>
      </c>
      <c r="W51" s="32">
        <f t="shared" si="49"/>
        <v>13228.050000000001</v>
      </c>
      <c r="X51" s="197"/>
      <c r="Y51" s="67">
        <v>0</v>
      </c>
      <c r="Z51" s="32">
        <f t="shared" si="50"/>
        <v>0</v>
      </c>
      <c r="AA51" s="32">
        <f t="shared" si="51"/>
        <v>0</v>
      </c>
    </row>
    <row r="52" spans="1:27">
      <c r="A52" s="320" t="s">
        <v>20</v>
      </c>
      <c r="B52" s="321" t="s">
        <v>771</v>
      </c>
      <c r="C52" s="192" t="s">
        <v>537</v>
      </c>
      <c r="D52" s="197" t="s">
        <v>11</v>
      </c>
      <c r="E52" s="29">
        <f t="shared" si="42"/>
        <v>631</v>
      </c>
      <c r="F52" s="40"/>
      <c r="G52" s="40">
        <f t="shared" si="43"/>
        <v>35537.919999999998</v>
      </c>
      <c r="H52" s="197"/>
      <c r="I52" s="67">
        <v>166</v>
      </c>
      <c r="J52" s="32">
        <v>56.32</v>
      </c>
      <c r="K52" s="32">
        <f t="shared" si="45"/>
        <v>9349.1200000000008</v>
      </c>
      <c r="L52" s="197"/>
      <c r="M52" s="67">
        <v>300</v>
      </c>
      <c r="N52" s="32">
        <v>56.32</v>
      </c>
      <c r="O52" s="32">
        <f t="shared" si="46"/>
        <v>16896</v>
      </c>
      <c r="P52" s="197"/>
      <c r="Q52" s="67">
        <v>0</v>
      </c>
      <c r="R52" s="32">
        <f t="shared" si="47"/>
        <v>0</v>
      </c>
      <c r="S52" s="32">
        <f t="shared" si="48"/>
        <v>0</v>
      </c>
      <c r="T52" s="197"/>
      <c r="U52" s="67">
        <v>165</v>
      </c>
      <c r="V52" s="32">
        <v>56.32</v>
      </c>
      <c r="W52" s="32">
        <f t="shared" si="49"/>
        <v>9292.7999999999993</v>
      </c>
      <c r="X52" s="197"/>
      <c r="Y52" s="67">
        <v>0</v>
      </c>
      <c r="Z52" s="32">
        <f t="shared" si="50"/>
        <v>0</v>
      </c>
      <c r="AA52" s="32">
        <f t="shared" si="51"/>
        <v>0</v>
      </c>
    </row>
    <row r="53" spans="1:27">
      <c r="A53" s="320" t="s">
        <v>20</v>
      </c>
      <c r="B53" s="321" t="s">
        <v>805</v>
      </c>
      <c r="C53" s="192" t="s">
        <v>772</v>
      </c>
      <c r="D53" s="197" t="s">
        <v>376</v>
      </c>
      <c r="E53" s="29">
        <f t="shared" si="42"/>
        <v>51.31</v>
      </c>
      <c r="F53" s="40"/>
      <c r="G53" s="40">
        <f t="shared" si="43"/>
        <v>42404.3321</v>
      </c>
      <c r="H53" s="197"/>
      <c r="I53" s="67">
        <v>11</v>
      </c>
      <c r="J53" s="32">
        <v>841.68</v>
      </c>
      <c r="K53" s="32">
        <f t="shared" si="45"/>
        <v>9258.48</v>
      </c>
      <c r="L53" s="197"/>
      <c r="M53" s="67">
        <v>30.009999999999998</v>
      </c>
      <c r="N53" s="32">
        <v>757.41</v>
      </c>
      <c r="O53" s="32">
        <f t="shared" si="46"/>
        <v>22729.874099999997</v>
      </c>
      <c r="P53" s="197"/>
      <c r="Q53" s="67">
        <v>0</v>
      </c>
      <c r="R53" s="32">
        <f t="shared" si="47"/>
        <v>0</v>
      </c>
      <c r="S53" s="32">
        <f t="shared" si="48"/>
        <v>0</v>
      </c>
      <c r="T53" s="197"/>
      <c r="U53" s="67">
        <v>10.3</v>
      </c>
      <c r="V53" s="32">
        <v>1011.26</v>
      </c>
      <c r="W53" s="32">
        <f t="shared" si="49"/>
        <v>10415.978000000001</v>
      </c>
      <c r="X53" s="197"/>
      <c r="Y53" s="67">
        <v>0</v>
      </c>
      <c r="Z53" s="32">
        <f t="shared" si="50"/>
        <v>0</v>
      </c>
      <c r="AA53" s="32">
        <f t="shared" si="51"/>
        <v>0</v>
      </c>
    </row>
    <row r="54" spans="1:27">
      <c r="A54" s="320" t="s">
        <v>20</v>
      </c>
      <c r="B54" s="321" t="s">
        <v>807</v>
      </c>
      <c r="C54" s="192" t="s">
        <v>539</v>
      </c>
      <c r="D54" s="197" t="s">
        <v>70</v>
      </c>
      <c r="E54" s="29">
        <f t="shared" si="42"/>
        <v>188.8</v>
      </c>
      <c r="F54" s="40"/>
      <c r="G54" s="40">
        <f t="shared" si="43"/>
        <v>11203.392</v>
      </c>
      <c r="H54" s="197"/>
      <c r="I54" s="67">
        <v>52</v>
      </c>
      <c r="J54" s="32">
        <v>59.34</v>
      </c>
      <c r="K54" s="32">
        <f t="shared" si="45"/>
        <v>3085.6800000000003</v>
      </c>
      <c r="L54" s="197"/>
      <c r="M54" s="67">
        <v>85.8</v>
      </c>
      <c r="N54" s="32">
        <v>59.34</v>
      </c>
      <c r="O54" s="32">
        <f t="shared" si="46"/>
        <v>5091.3720000000003</v>
      </c>
      <c r="P54" s="197"/>
      <c r="Q54" s="67">
        <v>0</v>
      </c>
      <c r="R54" s="32">
        <f t="shared" si="47"/>
        <v>0</v>
      </c>
      <c r="S54" s="32">
        <f t="shared" si="48"/>
        <v>0</v>
      </c>
      <c r="T54" s="197"/>
      <c r="U54" s="67">
        <v>51</v>
      </c>
      <c r="V54" s="32">
        <v>59.34</v>
      </c>
      <c r="W54" s="32">
        <f t="shared" si="49"/>
        <v>3026.34</v>
      </c>
      <c r="X54" s="197"/>
      <c r="Y54" s="67">
        <v>0</v>
      </c>
      <c r="Z54" s="32">
        <f t="shared" si="50"/>
        <v>0</v>
      </c>
      <c r="AA54" s="32">
        <f t="shared" si="51"/>
        <v>0</v>
      </c>
    </row>
    <row r="55" spans="1:27">
      <c r="A55" s="320" t="s">
        <v>20</v>
      </c>
      <c r="B55" s="321" t="s">
        <v>808</v>
      </c>
      <c r="C55" s="192" t="s">
        <v>806</v>
      </c>
      <c r="D55" s="197" t="s">
        <v>70</v>
      </c>
      <c r="E55" s="29">
        <f t="shared" si="42"/>
        <v>15</v>
      </c>
      <c r="F55" s="40"/>
      <c r="G55" s="40">
        <f t="shared" si="43"/>
        <v>2787</v>
      </c>
      <c r="H55" s="197"/>
      <c r="I55" s="67">
        <v>15</v>
      </c>
      <c r="J55" s="32">
        <v>185.8</v>
      </c>
      <c r="K55" s="32">
        <f t="shared" si="45"/>
        <v>2787</v>
      </c>
      <c r="L55" s="197"/>
      <c r="M55" s="67">
        <v>0</v>
      </c>
      <c r="N55" s="32">
        <f t="shared" ref="N55" si="53">$F55</f>
        <v>0</v>
      </c>
      <c r="O55" s="32">
        <f t="shared" si="46"/>
        <v>0</v>
      </c>
      <c r="P55" s="197"/>
      <c r="Q55" s="67">
        <v>0</v>
      </c>
      <c r="R55" s="32">
        <f t="shared" si="47"/>
        <v>0</v>
      </c>
      <c r="S55" s="32">
        <f t="shared" si="48"/>
        <v>0</v>
      </c>
      <c r="T55" s="197"/>
      <c r="U55" s="67">
        <v>0</v>
      </c>
      <c r="V55" s="32">
        <f t="shared" si="52"/>
        <v>0</v>
      </c>
      <c r="W55" s="32">
        <f t="shared" si="49"/>
        <v>0</v>
      </c>
      <c r="X55" s="197"/>
      <c r="Y55" s="67">
        <v>0</v>
      </c>
      <c r="Z55" s="32">
        <f t="shared" si="50"/>
        <v>0</v>
      </c>
      <c r="AA55" s="32">
        <f t="shared" si="51"/>
        <v>0</v>
      </c>
    </row>
    <row r="56" spans="1:27">
      <c r="A56" s="320" t="s">
        <v>20</v>
      </c>
      <c r="B56" s="321" t="s">
        <v>900</v>
      </c>
      <c r="C56" s="192" t="s">
        <v>901</v>
      </c>
      <c r="D56" s="197" t="s">
        <v>69</v>
      </c>
      <c r="E56" s="29">
        <f t="shared" si="42"/>
        <v>2</v>
      </c>
      <c r="F56" s="40"/>
      <c r="G56" s="40">
        <f t="shared" si="43"/>
        <v>2078.4</v>
      </c>
      <c r="H56" s="197"/>
      <c r="I56" s="67">
        <v>0</v>
      </c>
      <c r="J56" s="32">
        <f t="shared" si="44"/>
        <v>0</v>
      </c>
      <c r="K56" s="32">
        <f t="shared" si="45"/>
        <v>0</v>
      </c>
      <c r="L56" s="197"/>
      <c r="M56" s="67">
        <v>1</v>
      </c>
      <c r="N56" s="32">
        <v>1039.2</v>
      </c>
      <c r="O56" s="32">
        <f t="shared" si="46"/>
        <v>1039.2</v>
      </c>
      <c r="P56" s="197"/>
      <c r="Q56" s="67">
        <v>0</v>
      </c>
      <c r="R56" s="32">
        <f t="shared" si="47"/>
        <v>0</v>
      </c>
      <c r="S56" s="32">
        <f t="shared" si="48"/>
        <v>0</v>
      </c>
      <c r="T56" s="197"/>
      <c r="U56" s="67">
        <v>1</v>
      </c>
      <c r="V56" s="32">
        <v>1039.2</v>
      </c>
      <c r="W56" s="32">
        <f t="shared" si="49"/>
        <v>1039.2</v>
      </c>
      <c r="X56" s="197"/>
      <c r="Y56" s="67">
        <v>0</v>
      </c>
      <c r="Z56" s="32">
        <f t="shared" si="50"/>
        <v>0</v>
      </c>
      <c r="AA56" s="32">
        <f t="shared" si="51"/>
        <v>0</v>
      </c>
    </row>
    <row r="57" spans="1:27">
      <c r="A57" s="345"/>
      <c r="B57" s="346"/>
      <c r="C57" s="349"/>
      <c r="D57" s="68"/>
      <c r="E57" s="370"/>
      <c r="F57" s="331"/>
      <c r="G57" s="332"/>
      <c r="H57" s="68"/>
      <c r="I57" s="370"/>
      <c r="J57" s="331"/>
      <c r="K57" s="332"/>
      <c r="L57" s="68"/>
      <c r="M57" s="370" t="s">
        <v>897</v>
      </c>
      <c r="N57" s="331"/>
      <c r="O57" s="332"/>
      <c r="P57" s="68"/>
      <c r="Q57" s="370"/>
      <c r="R57" s="331"/>
      <c r="S57" s="332"/>
      <c r="T57" s="68"/>
      <c r="U57" s="370"/>
      <c r="V57" s="331"/>
      <c r="W57" s="332"/>
      <c r="X57" s="68"/>
      <c r="Y57" s="370"/>
      <c r="Z57" s="331"/>
      <c r="AA57" s="332"/>
    </row>
    <row r="58" spans="1:27">
      <c r="A58" s="345"/>
      <c r="B58" s="346"/>
      <c r="C58" s="198" t="s">
        <v>524</v>
      </c>
      <c r="D58" s="68"/>
      <c r="E58" s="370"/>
      <c r="F58" s="331" t="s">
        <v>10</v>
      </c>
      <c r="G58" s="332">
        <f>K58+O58+S58+W58+AA58</f>
        <v>179952.98309999998</v>
      </c>
      <c r="H58" s="68"/>
      <c r="I58" s="370"/>
      <c r="J58" s="331" t="s">
        <v>10</v>
      </c>
      <c r="K58" s="332">
        <f>SUM(K42:K57)</f>
        <v>41605.659999999996</v>
      </c>
      <c r="L58" s="68"/>
      <c r="M58" s="370" t="s">
        <v>897</v>
      </c>
      <c r="N58" s="331" t="s">
        <v>10</v>
      </c>
      <c r="O58" s="332">
        <f>SUM(O42:O57)</f>
        <v>86577.415099999998</v>
      </c>
      <c r="P58" s="68"/>
      <c r="Q58" s="370"/>
      <c r="R58" s="331" t="s">
        <v>10</v>
      </c>
      <c r="S58" s="332">
        <f>SUM(S42:S57)</f>
        <v>0</v>
      </c>
      <c r="T58" s="68"/>
      <c r="U58" s="370"/>
      <c r="V58" s="331" t="s">
        <v>10</v>
      </c>
      <c r="W58" s="332">
        <f>SUM(W42:W57)</f>
        <v>51769.907999999996</v>
      </c>
      <c r="X58" s="68"/>
      <c r="Y58" s="370"/>
      <c r="Z58" s="331" t="s">
        <v>10</v>
      </c>
      <c r="AA58" s="332">
        <f>SUM(AA42:AA57)</f>
        <v>0</v>
      </c>
    </row>
    <row r="59" spans="1:27" ht="12" customHeight="1">
      <c r="A59" s="35"/>
      <c r="B59" s="27"/>
      <c r="C59" s="36"/>
      <c r="D59" s="68"/>
      <c r="E59" s="369"/>
      <c r="F59" s="33"/>
      <c r="G59" s="34"/>
      <c r="H59" s="68"/>
      <c r="I59" s="369"/>
      <c r="J59" s="33"/>
      <c r="K59" s="34"/>
      <c r="L59" s="68"/>
      <c r="M59" s="369" t="s">
        <v>897</v>
      </c>
      <c r="N59" s="33"/>
      <c r="O59" s="34"/>
      <c r="P59" s="68"/>
      <c r="Q59" s="369"/>
      <c r="R59" s="33"/>
      <c r="S59" s="34"/>
      <c r="T59" s="68"/>
      <c r="U59" s="369"/>
      <c r="V59" s="33"/>
      <c r="W59" s="34"/>
      <c r="X59" s="68"/>
      <c r="Y59" s="369"/>
      <c r="Z59" s="33"/>
      <c r="AA59" s="34"/>
    </row>
    <row r="60" spans="1:27" ht="12" customHeight="1">
      <c r="A60" s="35"/>
      <c r="B60" s="27"/>
      <c r="C60" s="36"/>
      <c r="D60" s="68"/>
      <c r="E60" s="369"/>
      <c r="F60" s="33"/>
      <c r="G60" s="34"/>
      <c r="H60" s="68"/>
      <c r="I60" s="369"/>
      <c r="J60" s="33"/>
      <c r="K60" s="34"/>
      <c r="L60" s="68"/>
      <c r="M60" s="369" t="s">
        <v>897</v>
      </c>
      <c r="N60" s="33"/>
      <c r="O60" s="34"/>
      <c r="P60" s="68"/>
      <c r="Q60" s="369"/>
      <c r="R60" s="33"/>
      <c r="S60" s="34"/>
      <c r="T60" s="68"/>
      <c r="U60" s="369"/>
      <c r="V60" s="33"/>
      <c r="W60" s="34"/>
      <c r="X60" s="68"/>
      <c r="Y60" s="369"/>
      <c r="Z60" s="33"/>
      <c r="AA60" s="34"/>
    </row>
    <row r="61" spans="1:27">
      <c r="A61" s="62" t="s">
        <v>719</v>
      </c>
      <c r="B61" s="62">
        <v>6</v>
      </c>
      <c r="C61" s="63" t="s">
        <v>522</v>
      </c>
      <c r="D61" s="64"/>
      <c r="E61" s="366"/>
      <c r="F61" s="66"/>
      <c r="G61" s="66"/>
      <c r="H61" s="64"/>
      <c r="I61" s="366"/>
      <c r="J61" s="66"/>
      <c r="K61" s="66"/>
      <c r="L61" s="64"/>
      <c r="M61" s="366" t="s">
        <v>897</v>
      </c>
      <c r="N61" s="66"/>
      <c r="O61" s="66"/>
      <c r="P61" s="64"/>
      <c r="Q61" s="366"/>
      <c r="R61" s="66"/>
      <c r="S61" s="66"/>
      <c r="T61" s="64"/>
      <c r="U61" s="366"/>
      <c r="V61" s="66"/>
      <c r="W61" s="66"/>
      <c r="X61" s="64"/>
      <c r="Y61" s="366"/>
      <c r="Z61" s="66"/>
      <c r="AA61" s="66"/>
    </row>
    <row r="62" spans="1:27">
      <c r="A62" s="14" t="s">
        <v>20</v>
      </c>
      <c r="B62" s="31" t="s">
        <v>773</v>
      </c>
      <c r="C62" s="192" t="s">
        <v>526</v>
      </c>
      <c r="D62" s="197" t="s">
        <v>11</v>
      </c>
      <c r="E62" s="29">
        <f t="shared" ref="E62:E67" si="54">I62+M62+Q62+U62+Y62</f>
        <v>623.39799999999991</v>
      </c>
      <c r="F62" s="32"/>
      <c r="G62" s="32">
        <f t="shared" ref="G62:G67" si="55">K62+O62+S62+W62+AA62</f>
        <v>81147.717659999995</v>
      </c>
      <c r="H62" s="67"/>
      <c r="I62" s="67">
        <v>257.90899999999999</v>
      </c>
      <c r="J62" s="32">
        <v>130.16999999999999</v>
      </c>
      <c r="K62" s="32">
        <f t="shared" ref="K62:K67" si="56">I62*J62</f>
        <v>33572.014529999993</v>
      </c>
      <c r="L62" s="67"/>
      <c r="M62" s="67">
        <v>365.48899999999998</v>
      </c>
      <c r="N62" s="32">
        <v>130.16999999999999</v>
      </c>
      <c r="O62" s="32">
        <f t="shared" ref="O62:O67" si="57">M62*N62</f>
        <v>47575.703129999994</v>
      </c>
      <c r="P62" s="67"/>
      <c r="Q62" s="67">
        <v>0</v>
      </c>
      <c r="R62" s="32">
        <f t="shared" ref="R62:R67" si="58">$F62</f>
        <v>0</v>
      </c>
      <c r="S62" s="32">
        <f t="shared" ref="S62:S67" si="59">Q62*R62</f>
        <v>0</v>
      </c>
      <c r="T62" s="67"/>
      <c r="U62" s="67">
        <v>0</v>
      </c>
      <c r="V62" s="32">
        <f t="shared" ref="V62:V67" si="60">$F62</f>
        <v>0</v>
      </c>
      <c r="W62" s="32">
        <f t="shared" ref="W62:W67" si="61">U62*V62</f>
        <v>0</v>
      </c>
      <c r="X62" s="67"/>
      <c r="Y62" s="67">
        <v>0</v>
      </c>
      <c r="Z62" s="32">
        <f t="shared" ref="Z62:Z67" si="62">$F62</f>
        <v>0</v>
      </c>
      <c r="AA62" s="32">
        <f t="shared" ref="AA62:AA67" si="63">Y62*Z62</f>
        <v>0</v>
      </c>
    </row>
    <row r="63" spans="1:27">
      <c r="A63" s="320" t="s">
        <v>20</v>
      </c>
      <c r="B63" s="321" t="s">
        <v>774</v>
      </c>
      <c r="C63" s="192" t="s">
        <v>848</v>
      </c>
      <c r="D63" s="197" t="s">
        <v>11</v>
      </c>
      <c r="E63" s="29">
        <f t="shared" si="54"/>
        <v>396.87940000000003</v>
      </c>
      <c r="F63" s="40"/>
      <c r="G63" s="40">
        <f t="shared" si="55"/>
        <v>44589.400590000005</v>
      </c>
      <c r="H63" s="197"/>
      <c r="I63" s="67">
        <v>0</v>
      </c>
      <c r="J63" s="32">
        <f t="shared" ref="J63:J67" si="64">$F63</f>
        <v>0</v>
      </c>
      <c r="K63" s="32">
        <f t="shared" si="56"/>
        <v>0</v>
      </c>
      <c r="L63" s="197"/>
      <c r="M63" s="67">
        <v>167.94499999999999</v>
      </c>
      <c r="N63" s="32">
        <v>112.35</v>
      </c>
      <c r="O63" s="32">
        <f t="shared" si="57"/>
        <v>18868.620749999998</v>
      </c>
      <c r="P63" s="197"/>
      <c r="Q63" s="67">
        <v>0</v>
      </c>
      <c r="R63" s="32">
        <f t="shared" si="58"/>
        <v>0</v>
      </c>
      <c r="S63" s="32">
        <f t="shared" si="59"/>
        <v>0</v>
      </c>
      <c r="T63" s="197"/>
      <c r="U63" s="67">
        <v>228.93440000000004</v>
      </c>
      <c r="V63" s="32">
        <v>112.35</v>
      </c>
      <c r="W63" s="32">
        <f t="shared" si="61"/>
        <v>25720.779840000003</v>
      </c>
      <c r="X63" s="197"/>
      <c r="Y63" s="67">
        <v>0</v>
      </c>
      <c r="Z63" s="32">
        <f t="shared" si="62"/>
        <v>0</v>
      </c>
      <c r="AA63" s="32">
        <f t="shared" si="63"/>
        <v>0</v>
      </c>
    </row>
    <row r="64" spans="1:27">
      <c r="A64" s="320" t="s">
        <v>20</v>
      </c>
      <c r="B64" s="321" t="s">
        <v>775</v>
      </c>
      <c r="C64" s="192" t="s">
        <v>849</v>
      </c>
      <c r="D64" s="197" t="s">
        <v>11</v>
      </c>
      <c r="E64" s="29">
        <f t="shared" si="54"/>
        <v>131.34719999999999</v>
      </c>
      <c r="F64" s="40"/>
      <c r="G64" s="40">
        <f t="shared" si="55"/>
        <v>4396.1907839999994</v>
      </c>
      <c r="H64" s="197"/>
      <c r="I64" s="67">
        <v>0</v>
      </c>
      <c r="J64" s="32">
        <f t="shared" si="64"/>
        <v>0</v>
      </c>
      <c r="K64" s="32">
        <f t="shared" si="56"/>
        <v>0</v>
      </c>
      <c r="L64" s="197"/>
      <c r="M64" s="67">
        <v>45.599999999999994</v>
      </c>
      <c r="N64" s="32">
        <v>33.47</v>
      </c>
      <c r="O64" s="32">
        <f t="shared" si="57"/>
        <v>1526.2319999999997</v>
      </c>
      <c r="P64" s="197"/>
      <c r="Q64" s="67">
        <v>0</v>
      </c>
      <c r="R64" s="32">
        <f t="shared" si="58"/>
        <v>0</v>
      </c>
      <c r="S64" s="32">
        <f t="shared" si="59"/>
        <v>0</v>
      </c>
      <c r="T64" s="197"/>
      <c r="U64" s="67">
        <v>85.747200000000007</v>
      </c>
      <c r="V64" s="32">
        <v>33.47</v>
      </c>
      <c r="W64" s="32">
        <f t="shared" si="61"/>
        <v>2869.9587839999999</v>
      </c>
      <c r="X64" s="197"/>
      <c r="Y64" s="67">
        <v>0</v>
      </c>
      <c r="Z64" s="32">
        <f t="shared" si="62"/>
        <v>0</v>
      </c>
      <c r="AA64" s="32">
        <f t="shared" si="63"/>
        <v>0</v>
      </c>
    </row>
    <row r="65" spans="1:27">
      <c r="A65" s="320" t="s">
        <v>20</v>
      </c>
      <c r="B65" s="321" t="s">
        <v>776</v>
      </c>
      <c r="C65" s="192" t="s">
        <v>527</v>
      </c>
      <c r="D65" s="197" t="s">
        <v>376</v>
      </c>
      <c r="E65" s="29">
        <f t="shared" si="54"/>
        <v>1.5263999999999998</v>
      </c>
      <c r="F65" s="40"/>
      <c r="G65" s="40">
        <f t="shared" si="55"/>
        <v>1871.0000639999996</v>
      </c>
      <c r="H65" s="197"/>
      <c r="I65" s="67">
        <v>0</v>
      </c>
      <c r="J65" s="32">
        <f t="shared" si="64"/>
        <v>0</v>
      </c>
      <c r="K65" s="32">
        <f t="shared" si="56"/>
        <v>0</v>
      </c>
      <c r="L65" s="197"/>
      <c r="M65" s="67">
        <v>1.5263999999999998</v>
      </c>
      <c r="N65" s="32">
        <v>1225.76</v>
      </c>
      <c r="O65" s="32">
        <f t="shared" si="57"/>
        <v>1871.0000639999996</v>
      </c>
      <c r="P65" s="197"/>
      <c r="Q65" s="67">
        <v>0</v>
      </c>
      <c r="R65" s="32">
        <f t="shared" si="58"/>
        <v>0</v>
      </c>
      <c r="S65" s="32">
        <f t="shared" si="59"/>
        <v>0</v>
      </c>
      <c r="T65" s="197"/>
      <c r="U65" s="67"/>
      <c r="V65" s="32">
        <f t="shared" si="60"/>
        <v>0</v>
      </c>
      <c r="W65" s="32">
        <f t="shared" si="61"/>
        <v>0</v>
      </c>
      <c r="X65" s="197"/>
      <c r="Y65" s="67">
        <v>0</v>
      </c>
      <c r="Z65" s="32">
        <f t="shared" si="62"/>
        <v>0</v>
      </c>
      <c r="AA65" s="32">
        <f t="shared" si="63"/>
        <v>0</v>
      </c>
    </row>
    <row r="66" spans="1:27">
      <c r="A66" s="320" t="s">
        <v>20</v>
      </c>
      <c r="B66" s="321" t="s">
        <v>777</v>
      </c>
      <c r="C66" s="192" t="s">
        <v>528</v>
      </c>
      <c r="D66" s="197" t="s">
        <v>376</v>
      </c>
      <c r="E66" s="29">
        <f t="shared" si="54"/>
        <v>22.25</v>
      </c>
      <c r="F66" s="40"/>
      <c r="G66" s="40">
        <f t="shared" si="55"/>
        <v>22563.888299999999</v>
      </c>
      <c r="H66" s="197"/>
      <c r="I66" s="67">
        <v>3.91</v>
      </c>
      <c r="J66" s="32">
        <v>1195.25</v>
      </c>
      <c r="K66" s="32">
        <f t="shared" si="56"/>
        <v>4673.4274999999998</v>
      </c>
      <c r="L66" s="197"/>
      <c r="M66" s="67">
        <v>16.86</v>
      </c>
      <c r="N66" s="32">
        <v>951</v>
      </c>
      <c r="O66" s="32">
        <f t="shared" si="57"/>
        <v>16033.859999999999</v>
      </c>
      <c r="P66" s="197"/>
      <c r="Q66" s="67">
        <v>0</v>
      </c>
      <c r="R66" s="32">
        <f t="shared" si="58"/>
        <v>0</v>
      </c>
      <c r="S66" s="32">
        <f t="shared" si="59"/>
        <v>0</v>
      </c>
      <c r="T66" s="197"/>
      <c r="U66" s="67">
        <v>1.48</v>
      </c>
      <c r="V66" s="32">
        <v>1254.46</v>
      </c>
      <c r="W66" s="32">
        <f t="shared" si="61"/>
        <v>1856.6007999999999</v>
      </c>
      <c r="X66" s="197"/>
      <c r="Y66" s="67">
        <v>0</v>
      </c>
      <c r="Z66" s="32">
        <f t="shared" si="62"/>
        <v>0</v>
      </c>
      <c r="AA66" s="32">
        <f t="shared" si="63"/>
        <v>0</v>
      </c>
    </row>
    <row r="67" spans="1:27">
      <c r="A67" s="345"/>
      <c r="B67" s="346"/>
      <c r="C67" s="351" t="s">
        <v>778</v>
      </c>
      <c r="D67" s="197" t="s">
        <v>779</v>
      </c>
      <c r="E67" s="29">
        <f t="shared" si="54"/>
        <v>1</v>
      </c>
      <c r="F67" s="40"/>
      <c r="G67" s="40">
        <f t="shared" si="55"/>
        <v>671.46</v>
      </c>
      <c r="H67" s="197"/>
      <c r="I67" s="67">
        <v>0</v>
      </c>
      <c r="J67" s="32">
        <f t="shared" si="64"/>
        <v>0</v>
      </c>
      <c r="K67" s="32">
        <f t="shared" si="56"/>
        <v>0</v>
      </c>
      <c r="L67" s="197"/>
      <c r="M67" s="67">
        <v>1</v>
      </c>
      <c r="N67" s="32">
        <v>671.46</v>
      </c>
      <c r="O67" s="32">
        <f t="shared" si="57"/>
        <v>671.46</v>
      </c>
      <c r="P67" s="197"/>
      <c r="Q67" s="67">
        <v>0</v>
      </c>
      <c r="R67" s="32">
        <f t="shared" si="58"/>
        <v>0</v>
      </c>
      <c r="S67" s="32">
        <f t="shared" si="59"/>
        <v>0</v>
      </c>
      <c r="T67" s="197"/>
      <c r="U67" s="67">
        <v>0</v>
      </c>
      <c r="V67" s="32">
        <f t="shared" si="60"/>
        <v>0</v>
      </c>
      <c r="W67" s="32">
        <f t="shared" si="61"/>
        <v>0</v>
      </c>
      <c r="X67" s="197"/>
      <c r="Y67" s="67">
        <v>0</v>
      </c>
      <c r="Z67" s="32">
        <f t="shared" si="62"/>
        <v>0</v>
      </c>
      <c r="AA67" s="32">
        <f t="shared" si="63"/>
        <v>0</v>
      </c>
    </row>
    <row r="68" spans="1:27">
      <c r="A68" s="320" t="s">
        <v>20</v>
      </c>
      <c r="B68" s="321" t="s">
        <v>780</v>
      </c>
      <c r="C68" s="192" t="s">
        <v>529</v>
      </c>
      <c r="D68" s="197"/>
      <c r="E68" s="29"/>
      <c r="F68" s="40"/>
      <c r="G68" s="40"/>
      <c r="H68" s="197"/>
      <c r="I68" s="370"/>
      <c r="J68" s="40"/>
      <c r="K68" s="40"/>
      <c r="L68" s="197"/>
      <c r="M68" s="370" t="s">
        <v>897</v>
      </c>
      <c r="N68" s="40"/>
      <c r="O68" s="40"/>
      <c r="P68" s="197"/>
      <c r="Q68" s="370"/>
      <c r="R68" s="40"/>
      <c r="S68" s="40"/>
      <c r="T68" s="197"/>
      <c r="U68" s="370"/>
      <c r="V68" s="40"/>
      <c r="W68" s="40"/>
      <c r="X68" s="197"/>
      <c r="Y68" s="370"/>
      <c r="Z68" s="40"/>
      <c r="AA68" s="40"/>
    </row>
    <row r="69" spans="1:27">
      <c r="A69" s="345"/>
      <c r="B69" s="346"/>
      <c r="C69" s="351" t="s">
        <v>781</v>
      </c>
      <c r="D69" s="197" t="s">
        <v>11</v>
      </c>
      <c r="E69" s="29">
        <f>I69+M69+Q69+U69+Y69</f>
        <v>238</v>
      </c>
      <c r="F69" s="40"/>
      <c r="G69" s="40">
        <f>K69+O69+S69+W69+AA69</f>
        <v>24882.899999999998</v>
      </c>
      <c r="H69" s="197"/>
      <c r="I69" s="67">
        <v>0</v>
      </c>
      <c r="J69" s="32">
        <f t="shared" ref="J69:J70" si="65">$F69</f>
        <v>0</v>
      </c>
      <c r="K69" s="32">
        <f t="shared" ref="K69:K72" si="66">I69*J69</f>
        <v>0</v>
      </c>
      <c r="L69" s="197"/>
      <c r="M69" s="67">
        <v>238</v>
      </c>
      <c r="N69" s="32">
        <v>104.55</v>
      </c>
      <c r="O69" s="32">
        <f t="shared" ref="O69:O72" si="67">M69*N69</f>
        <v>24882.899999999998</v>
      </c>
      <c r="P69" s="197"/>
      <c r="Q69" s="67">
        <v>0</v>
      </c>
      <c r="R69" s="32">
        <f t="shared" ref="R69:R72" si="68">$F69</f>
        <v>0</v>
      </c>
      <c r="S69" s="32">
        <f t="shared" ref="S69:S72" si="69">Q69*R69</f>
        <v>0</v>
      </c>
      <c r="T69" s="197"/>
      <c r="U69" s="67"/>
      <c r="V69" s="32">
        <f t="shared" ref="V69:V70" si="70">$F69</f>
        <v>0</v>
      </c>
      <c r="W69" s="32">
        <f t="shared" ref="W69:W72" si="71">U69*V69</f>
        <v>0</v>
      </c>
      <c r="X69" s="197"/>
      <c r="Y69" s="67">
        <v>0</v>
      </c>
      <c r="Z69" s="32">
        <f t="shared" ref="Z69:Z72" si="72">$F69</f>
        <v>0</v>
      </c>
      <c r="AA69" s="32">
        <f t="shared" ref="AA69:AA72" si="73">Y69*Z69</f>
        <v>0</v>
      </c>
    </row>
    <row r="70" spans="1:27">
      <c r="A70" s="345"/>
      <c r="B70" s="346"/>
      <c r="C70" s="351" t="s">
        <v>530</v>
      </c>
      <c r="D70" s="197" t="s">
        <v>11</v>
      </c>
      <c r="E70" s="29">
        <f>I70+M70+Q70+U70+Y70</f>
        <v>113</v>
      </c>
      <c r="F70" s="40"/>
      <c r="G70" s="40">
        <f>K70+O70+S70+W70+AA70</f>
        <v>11599.45</v>
      </c>
      <c r="H70" s="197"/>
      <c r="I70" s="67"/>
      <c r="J70" s="32">
        <f t="shared" si="65"/>
        <v>0</v>
      </c>
      <c r="K70" s="32">
        <f t="shared" si="66"/>
        <v>0</v>
      </c>
      <c r="L70" s="197"/>
      <c r="M70" s="67">
        <v>113</v>
      </c>
      <c r="N70" s="32">
        <v>102.65</v>
      </c>
      <c r="O70" s="32">
        <f t="shared" si="67"/>
        <v>11599.45</v>
      </c>
      <c r="P70" s="197"/>
      <c r="Q70" s="67">
        <v>0</v>
      </c>
      <c r="R70" s="32">
        <f t="shared" si="68"/>
        <v>0</v>
      </c>
      <c r="S70" s="32">
        <f t="shared" si="69"/>
        <v>0</v>
      </c>
      <c r="T70" s="197"/>
      <c r="U70" s="67"/>
      <c r="V70" s="32">
        <f t="shared" si="70"/>
        <v>0</v>
      </c>
      <c r="W70" s="32">
        <f t="shared" si="71"/>
        <v>0</v>
      </c>
      <c r="X70" s="197"/>
      <c r="Y70" s="67">
        <v>0</v>
      </c>
      <c r="Z70" s="32">
        <f t="shared" si="72"/>
        <v>0</v>
      </c>
      <c r="AA70" s="32">
        <f t="shared" si="73"/>
        <v>0</v>
      </c>
    </row>
    <row r="71" spans="1:27">
      <c r="A71" s="345"/>
      <c r="B71" s="346"/>
      <c r="C71" s="351" t="s">
        <v>531</v>
      </c>
      <c r="D71" s="197" t="s">
        <v>11</v>
      </c>
      <c r="E71" s="29">
        <f>I71+M71+Q71+U71+Y71</f>
        <v>535</v>
      </c>
      <c r="F71" s="40"/>
      <c r="G71" s="40">
        <f>K71+O71+S71+W71+AA71</f>
        <v>50359.55</v>
      </c>
      <c r="H71" s="197"/>
      <c r="I71" s="67">
        <v>197</v>
      </c>
      <c r="J71" s="32">
        <v>94.13</v>
      </c>
      <c r="K71" s="32">
        <f t="shared" si="66"/>
        <v>18543.61</v>
      </c>
      <c r="L71" s="197"/>
      <c r="M71" s="67">
        <v>149</v>
      </c>
      <c r="N71" s="32">
        <v>94.13</v>
      </c>
      <c r="O71" s="32">
        <f t="shared" si="67"/>
        <v>14025.369999999999</v>
      </c>
      <c r="P71" s="197"/>
      <c r="Q71" s="67">
        <v>0</v>
      </c>
      <c r="R71" s="32">
        <f t="shared" si="68"/>
        <v>0</v>
      </c>
      <c r="S71" s="32">
        <f t="shared" si="69"/>
        <v>0</v>
      </c>
      <c r="T71" s="197"/>
      <c r="U71" s="67">
        <v>189</v>
      </c>
      <c r="V71" s="32">
        <v>94.13</v>
      </c>
      <c r="W71" s="32">
        <f t="shared" si="71"/>
        <v>17790.57</v>
      </c>
      <c r="X71" s="197"/>
      <c r="Y71" s="67">
        <v>0</v>
      </c>
      <c r="Z71" s="32">
        <f t="shared" si="72"/>
        <v>0</v>
      </c>
      <c r="AA71" s="32">
        <f t="shared" si="73"/>
        <v>0</v>
      </c>
    </row>
    <row r="72" spans="1:27">
      <c r="A72" s="345"/>
      <c r="B72" s="346"/>
      <c r="C72" s="192" t="s">
        <v>532</v>
      </c>
      <c r="D72" s="197" t="s">
        <v>70</v>
      </c>
      <c r="E72" s="29">
        <f>I72+M72+Q72+U72+Y72</f>
        <v>7.35</v>
      </c>
      <c r="F72" s="40"/>
      <c r="G72" s="40">
        <f>K72+O72+S72+W72+AA72</f>
        <v>421.74299999999999</v>
      </c>
      <c r="H72" s="197"/>
      <c r="I72" s="67">
        <v>1.65</v>
      </c>
      <c r="J72" s="32">
        <v>57.38</v>
      </c>
      <c r="K72" s="32">
        <f t="shared" si="66"/>
        <v>94.676999999999992</v>
      </c>
      <c r="L72" s="197"/>
      <c r="M72" s="67">
        <v>2.9</v>
      </c>
      <c r="N72" s="32">
        <v>57.38</v>
      </c>
      <c r="O72" s="32">
        <f t="shared" si="67"/>
        <v>166.40200000000002</v>
      </c>
      <c r="P72" s="197"/>
      <c r="Q72" s="67">
        <v>0</v>
      </c>
      <c r="R72" s="32">
        <f t="shared" si="68"/>
        <v>0</v>
      </c>
      <c r="S72" s="32">
        <f t="shared" si="69"/>
        <v>0</v>
      </c>
      <c r="T72" s="197"/>
      <c r="U72" s="67">
        <v>2.8</v>
      </c>
      <c r="V72" s="32">
        <v>57.38</v>
      </c>
      <c r="W72" s="32">
        <f t="shared" si="71"/>
        <v>160.66399999999999</v>
      </c>
      <c r="X72" s="197"/>
      <c r="Y72" s="67">
        <v>0</v>
      </c>
      <c r="Z72" s="32">
        <f t="shared" si="72"/>
        <v>0</v>
      </c>
      <c r="AA72" s="32">
        <f t="shared" si="73"/>
        <v>0</v>
      </c>
    </row>
    <row r="73" spans="1:27">
      <c r="A73" s="320" t="s">
        <v>20</v>
      </c>
      <c r="B73" s="321" t="s">
        <v>850</v>
      </c>
      <c r="C73" s="192" t="s">
        <v>533</v>
      </c>
      <c r="D73" s="197"/>
      <c r="E73" s="29"/>
      <c r="F73" s="332"/>
      <c r="G73" s="40"/>
      <c r="H73" s="197"/>
      <c r="I73" s="370"/>
      <c r="J73" s="40"/>
      <c r="K73" s="40"/>
      <c r="L73" s="197"/>
      <c r="M73" s="370" t="s">
        <v>897</v>
      </c>
      <c r="N73" s="40"/>
      <c r="O73" s="40"/>
      <c r="P73" s="197"/>
      <c r="Q73" s="370"/>
      <c r="R73" s="40"/>
      <c r="S73" s="40"/>
      <c r="T73" s="197"/>
      <c r="U73" s="370"/>
      <c r="V73" s="40"/>
      <c r="W73" s="40"/>
      <c r="X73" s="197"/>
      <c r="Y73" s="370"/>
      <c r="Z73" s="40"/>
      <c r="AA73" s="40"/>
    </row>
    <row r="74" spans="1:27">
      <c r="A74" s="345"/>
      <c r="B74" s="346"/>
      <c r="C74" s="351" t="s">
        <v>534</v>
      </c>
      <c r="D74" s="197" t="s">
        <v>70</v>
      </c>
      <c r="E74" s="29">
        <f>I74+M74+Q74+U74+Y74</f>
        <v>246.5</v>
      </c>
      <c r="F74" s="40"/>
      <c r="G74" s="40">
        <f>K74+O74+S74+W74+AA74</f>
        <v>21041.24</v>
      </c>
      <c r="H74" s="197"/>
      <c r="I74" s="67">
        <v>29</v>
      </c>
      <c r="J74" s="32">
        <v>85.36</v>
      </c>
      <c r="K74" s="32">
        <f t="shared" ref="K74:K77" si="74">I74*J74</f>
        <v>2475.44</v>
      </c>
      <c r="L74" s="197"/>
      <c r="M74" s="67">
        <v>143.5</v>
      </c>
      <c r="N74" s="32">
        <v>85.36</v>
      </c>
      <c r="O74" s="32">
        <f t="shared" ref="O74:O77" si="75">M74*N74</f>
        <v>12249.16</v>
      </c>
      <c r="P74" s="197"/>
      <c r="Q74" s="67">
        <v>0</v>
      </c>
      <c r="R74" s="32">
        <f t="shared" ref="R74:R77" si="76">$F74</f>
        <v>0</v>
      </c>
      <c r="S74" s="32">
        <f t="shared" ref="S74:S77" si="77">Q74*R74</f>
        <v>0</v>
      </c>
      <c r="T74" s="197"/>
      <c r="U74" s="67">
        <v>74</v>
      </c>
      <c r="V74" s="32">
        <v>85.36</v>
      </c>
      <c r="W74" s="32">
        <f t="shared" ref="W74:W77" si="78">U74*V74</f>
        <v>6316.64</v>
      </c>
      <c r="X74" s="197"/>
      <c r="Y74" s="67">
        <v>0</v>
      </c>
      <c r="Z74" s="32">
        <f t="shared" ref="Z74:Z76" si="79">$F74</f>
        <v>0</v>
      </c>
      <c r="AA74" s="32">
        <f t="shared" ref="AA74:AA76" si="80">Y74*Z74</f>
        <v>0</v>
      </c>
    </row>
    <row r="75" spans="1:27">
      <c r="A75" s="345"/>
      <c r="B75" s="346"/>
      <c r="C75" s="351" t="s">
        <v>829</v>
      </c>
      <c r="D75" s="197" t="s">
        <v>70</v>
      </c>
      <c r="E75" s="29">
        <f>I75+M75+Q75+U75+Y75</f>
        <v>16.5</v>
      </c>
      <c r="F75" s="40"/>
      <c r="G75" s="40">
        <f>K75+O75+S75+W75+AA75</f>
        <v>1566.51</v>
      </c>
      <c r="H75" s="197"/>
      <c r="I75" s="67">
        <v>8.5</v>
      </c>
      <c r="J75" s="32">
        <v>94.94</v>
      </c>
      <c r="K75" s="32">
        <f t="shared" si="74"/>
        <v>806.99</v>
      </c>
      <c r="L75" s="197"/>
      <c r="M75" s="67">
        <v>8</v>
      </c>
      <c r="N75" s="32">
        <v>94.94</v>
      </c>
      <c r="O75" s="32">
        <f t="shared" si="75"/>
        <v>759.52</v>
      </c>
      <c r="P75" s="197"/>
      <c r="Q75" s="67">
        <v>0</v>
      </c>
      <c r="R75" s="32">
        <f t="shared" si="76"/>
        <v>0</v>
      </c>
      <c r="S75" s="32">
        <f t="shared" si="77"/>
        <v>0</v>
      </c>
      <c r="T75" s="197"/>
      <c r="U75" s="67">
        <v>0</v>
      </c>
      <c r="V75" s="32">
        <f t="shared" ref="V75:V77" si="81">$F75</f>
        <v>0</v>
      </c>
      <c r="W75" s="32">
        <f t="shared" si="78"/>
        <v>0</v>
      </c>
      <c r="X75" s="197"/>
      <c r="Y75" s="67">
        <v>0</v>
      </c>
      <c r="Z75" s="32">
        <f t="shared" si="79"/>
        <v>0</v>
      </c>
      <c r="AA75" s="32">
        <f t="shared" si="80"/>
        <v>0</v>
      </c>
    </row>
    <row r="76" spans="1:27">
      <c r="A76" s="345"/>
      <c r="B76" s="346"/>
      <c r="C76" s="351" t="s">
        <v>830</v>
      </c>
      <c r="D76" s="197" t="s">
        <v>70</v>
      </c>
      <c r="E76" s="29">
        <f>I76+M76+Q76+U76+Y76</f>
        <v>23</v>
      </c>
      <c r="F76" s="40"/>
      <c r="G76" s="40">
        <f>K76+O76+S76+W76+AA76</f>
        <v>5497.8050000000003</v>
      </c>
      <c r="H76" s="197"/>
      <c r="I76" s="67">
        <v>11.5</v>
      </c>
      <c r="J76" s="32">
        <v>252.94</v>
      </c>
      <c r="K76" s="32">
        <f t="shared" si="74"/>
        <v>2908.81</v>
      </c>
      <c r="L76" s="197"/>
      <c r="M76" s="67">
        <v>11.5</v>
      </c>
      <c r="N76" s="32">
        <v>225.13</v>
      </c>
      <c r="O76" s="32">
        <f t="shared" si="75"/>
        <v>2588.9949999999999</v>
      </c>
      <c r="P76" s="197"/>
      <c r="Q76" s="67">
        <v>0</v>
      </c>
      <c r="R76" s="32">
        <f t="shared" si="76"/>
        <v>0</v>
      </c>
      <c r="S76" s="32">
        <f t="shared" si="77"/>
        <v>0</v>
      </c>
      <c r="T76" s="197"/>
      <c r="U76" s="67">
        <v>0</v>
      </c>
      <c r="V76" s="32">
        <f t="shared" si="81"/>
        <v>0</v>
      </c>
      <c r="W76" s="32">
        <f t="shared" si="78"/>
        <v>0</v>
      </c>
      <c r="X76" s="197"/>
      <c r="Y76" s="67">
        <v>0</v>
      </c>
      <c r="Z76" s="32">
        <f t="shared" si="79"/>
        <v>0</v>
      </c>
      <c r="AA76" s="32">
        <f t="shared" si="80"/>
        <v>0</v>
      </c>
    </row>
    <row r="77" spans="1:27">
      <c r="A77" s="345"/>
      <c r="B77" s="346"/>
      <c r="C77" s="351" t="s">
        <v>831</v>
      </c>
      <c r="D77" s="197" t="s">
        <v>70</v>
      </c>
      <c r="E77" s="29">
        <f>I77+M77+Q77+U77+Y77</f>
        <v>27</v>
      </c>
      <c r="F77" s="40"/>
      <c r="G77" s="40">
        <f>K77+O77+S77+W77+AA77</f>
        <v>7811.91</v>
      </c>
      <c r="H77" s="197"/>
      <c r="I77" s="67">
        <v>12.5</v>
      </c>
      <c r="J77" s="32">
        <v>289.33</v>
      </c>
      <c r="K77" s="32">
        <f t="shared" si="74"/>
        <v>3616.625</v>
      </c>
      <c r="L77" s="197"/>
      <c r="M77" s="67">
        <v>14.5</v>
      </c>
      <c r="N77" s="32">
        <v>289.33</v>
      </c>
      <c r="O77" s="32">
        <f t="shared" si="75"/>
        <v>4195.2849999999999</v>
      </c>
      <c r="P77" s="197"/>
      <c r="Q77" s="67">
        <v>0</v>
      </c>
      <c r="R77" s="32">
        <f t="shared" si="76"/>
        <v>0</v>
      </c>
      <c r="S77" s="32">
        <f t="shared" si="77"/>
        <v>0</v>
      </c>
      <c r="T77" s="197"/>
      <c r="U77" s="67">
        <v>0</v>
      </c>
      <c r="V77" s="32">
        <f t="shared" si="81"/>
        <v>0</v>
      </c>
      <c r="W77" s="32">
        <f t="shared" si="78"/>
        <v>0</v>
      </c>
      <c r="X77" s="197"/>
      <c r="Y77" s="67"/>
      <c r="Z77" s="40"/>
      <c r="AA77" s="40"/>
    </row>
    <row r="78" spans="1:27">
      <c r="A78" s="345"/>
      <c r="B78" s="346"/>
      <c r="C78" s="349"/>
      <c r="D78" s="68"/>
      <c r="E78" s="29"/>
      <c r="F78" s="331"/>
      <c r="G78" s="332"/>
      <c r="H78" s="68"/>
      <c r="I78" s="370"/>
      <c r="J78" s="331"/>
      <c r="K78" s="332"/>
      <c r="L78" s="68"/>
      <c r="M78" s="370" t="s">
        <v>897</v>
      </c>
      <c r="N78" s="331"/>
      <c r="O78" s="332"/>
      <c r="P78" s="68"/>
      <c r="Q78" s="370"/>
      <c r="R78" s="331"/>
      <c r="S78" s="332"/>
      <c r="T78" s="68"/>
      <c r="U78" s="370"/>
      <c r="V78" s="331"/>
      <c r="W78" s="332"/>
      <c r="X78" s="68"/>
      <c r="Y78" s="370"/>
      <c r="Z78" s="331"/>
      <c r="AA78" s="332"/>
    </row>
    <row r="79" spans="1:27">
      <c r="A79" s="35"/>
      <c r="B79" s="27"/>
      <c r="C79" s="38" t="s">
        <v>525</v>
      </c>
      <c r="D79" s="68"/>
      <c r="E79" s="29"/>
      <c r="F79" s="33" t="s">
        <v>10</v>
      </c>
      <c r="G79" s="34">
        <f>K79+O79+S79+W79+AA79</f>
        <v>278420.76539800002</v>
      </c>
      <c r="H79" s="68"/>
      <c r="I79" s="369"/>
      <c r="J79" s="33" t="s">
        <v>10</v>
      </c>
      <c r="K79" s="34">
        <f>SUM(K61:K78)</f>
        <v>66691.594029999993</v>
      </c>
      <c r="L79" s="68"/>
      <c r="M79" s="369" t="s">
        <v>897</v>
      </c>
      <c r="N79" s="33" t="s">
        <v>10</v>
      </c>
      <c r="O79" s="34">
        <f>SUM(O61:O78)</f>
        <v>157013.95794399999</v>
      </c>
      <c r="P79" s="68"/>
      <c r="Q79" s="369"/>
      <c r="R79" s="33" t="s">
        <v>10</v>
      </c>
      <c r="S79" s="34">
        <f>SUM(S61:S78)</f>
        <v>0</v>
      </c>
      <c r="T79" s="68"/>
      <c r="U79" s="369"/>
      <c r="V79" s="33" t="s">
        <v>10</v>
      </c>
      <c r="W79" s="34">
        <f>SUM(W61:W78)</f>
        <v>54715.213423999994</v>
      </c>
      <c r="X79" s="68"/>
      <c r="Y79" s="369"/>
      <c r="Z79" s="33" t="s">
        <v>10</v>
      </c>
      <c r="AA79" s="34">
        <f>SUM(AA61:AA78)</f>
        <v>0</v>
      </c>
    </row>
    <row r="80" spans="1:27" ht="12" customHeight="1">
      <c r="A80" s="35"/>
      <c r="B80" s="27"/>
      <c r="C80" s="36"/>
      <c r="D80" s="68"/>
      <c r="E80" s="29"/>
      <c r="F80" s="33"/>
      <c r="G80" s="34"/>
      <c r="H80" s="68"/>
      <c r="I80" s="369"/>
      <c r="J80" s="33"/>
      <c r="K80" s="34"/>
      <c r="L80" s="68"/>
      <c r="M80" s="369" t="s">
        <v>897</v>
      </c>
      <c r="N80" s="33"/>
      <c r="O80" s="34"/>
      <c r="P80" s="68"/>
      <c r="Q80" s="369"/>
      <c r="R80" s="33"/>
      <c r="S80" s="34"/>
      <c r="T80" s="68"/>
      <c r="U80" s="369"/>
      <c r="V80" s="33"/>
      <c r="W80" s="34"/>
      <c r="X80" s="68"/>
      <c r="Y80" s="369"/>
      <c r="Z80" s="33"/>
      <c r="AA80" s="34"/>
    </row>
    <row r="81" spans="1:31">
      <c r="A81" s="35"/>
      <c r="B81" s="27"/>
      <c r="C81" s="36"/>
      <c r="D81" s="68"/>
      <c r="E81" s="29"/>
      <c r="F81" s="33"/>
      <c r="G81" s="34"/>
      <c r="H81" s="68"/>
      <c r="I81" s="369"/>
      <c r="J81" s="33"/>
      <c r="K81" s="34"/>
      <c r="L81" s="68"/>
      <c r="M81" s="369" t="s">
        <v>897</v>
      </c>
      <c r="N81" s="33"/>
      <c r="O81" s="34"/>
      <c r="P81" s="68"/>
      <c r="Q81" s="369"/>
      <c r="R81" s="33"/>
      <c r="S81" s="34"/>
      <c r="T81" s="68"/>
      <c r="U81" s="369"/>
      <c r="V81" s="33"/>
      <c r="W81" s="34"/>
      <c r="X81" s="68"/>
      <c r="Y81" s="369"/>
      <c r="Z81" s="33"/>
      <c r="AA81" s="34"/>
    </row>
    <row r="82" spans="1:31">
      <c r="A82" s="62" t="s">
        <v>719</v>
      </c>
      <c r="B82" s="62">
        <v>7</v>
      </c>
      <c r="C82" s="63" t="s">
        <v>519</v>
      </c>
      <c r="D82" s="64"/>
      <c r="E82" s="65"/>
      <c r="F82" s="66"/>
      <c r="G82" s="66"/>
      <c r="H82" s="64"/>
      <c r="I82" s="366"/>
      <c r="J82" s="66"/>
      <c r="K82" s="66"/>
      <c r="L82" s="64"/>
      <c r="M82" s="366"/>
      <c r="N82" s="66"/>
      <c r="O82" s="66"/>
      <c r="P82" s="64"/>
      <c r="Q82" s="366"/>
      <c r="R82" s="66"/>
      <c r="S82" s="66"/>
      <c r="T82" s="64"/>
      <c r="U82" s="366"/>
      <c r="V82" s="66"/>
      <c r="W82" s="66"/>
      <c r="X82" s="64"/>
      <c r="Y82" s="366"/>
      <c r="Z82" s="66"/>
      <c r="AA82" s="66"/>
    </row>
    <row r="83" spans="1:31">
      <c r="A83" s="320" t="s">
        <v>20</v>
      </c>
      <c r="B83" s="321" t="s">
        <v>832</v>
      </c>
      <c r="C83" s="192" t="s">
        <v>833</v>
      </c>
      <c r="D83" s="197" t="s">
        <v>69</v>
      </c>
      <c r="E83" s="29">
        <f t="shared" ref="E83:E89" si="82">I83+M83+Q83+U83+Y83</f>
        <v>2</v>
      </c>
      <c r="F83" s="40"/>
      <c r="G83" s="40">
        <f t="shared" ref="G83:G89" si="83">K83+O83+S83+W83+AA83</f>
        <v>6130.84</v>
      </c>
      <c r="H83" s="197"/>
      <c r="I83" s="67">
        <v>1</v>
      </c>
      <c r="J83" s="32">
        <v>3204.22</v>
      </c>
      <c r="K83" s="32">
        <f t="shared" ref="K83:K89" si="84">I83*J83</f>
        <v>3204.22</v>
      </c>
      <c r="L83" s="197"/>
      <c r="M83" s="67">
        <v>1</v>
      </c>
      <c r="N83" s="32">
        <v>2926.62</v>
      </c>
      <c r="O83" s="32">
        <f t="shared" ref="O83:O89" si="85">M83*N83</f>
        <v>2926.62</v>
      </c>
      <c r="P83" s="197"/>
      <c r="Q83" s="67">
        <v>0</v>
      </c>
      <c r="R83" s="32">
        <f t="shared" ref="R83:R88" si="86">$F83</f>
        <v>0</v>
      </c>
      <c r="S83" s="32">
        <f t="shared" ref="S83:S89" si="87">Q83*R83</f>
        <v>0</v>
      </c>
      <c r="T83" s="197"/>
      <c r="U83" s="67">
        <v>0</v>
      </c>
      <c r="V83" s="32">
        <f t="shared" ref="V83:V86" si="88">$F83</f>
        <v>0</v>
      </c>
      <c r="W83" s="32">
        <f t="shared" ref="W83:W89" si="89">U83*V83</f>
        <v>0</v>
      </c>
      <c r="X83" s="197"/>
      <c r="Y83" s="67">
        <v>0</v>
      </c>
      <c r="Z83" s="32">
        <f t="shared" ref="Z83:Z88" si="90">$F83</f>
        <v>0</v>
      </c>
      <c r="AA83" s="32">
        <f t="shared" ref="AA83:AA89" si="91">Y83*Z83</f>
        <v>0</v>
      </c>
      <c r="AC83" s="322"/>
      <c r="AD83" s="322"/>
      <c r="AE83" s="322"/>
    </row>
    <row r="84" spans="1:31">
      <c r="A84" s="320" t="s">
        <v>20</v>
      </c>
      <c r="B84" s="321" t="s">
        <v>834</v>
      </c>
      <c r="C84" s="192" t="s">
        <v>835</v>
      </c>
      <c r="D84" s="197" t="s">
        <v>69</v>
      </c>
      <c r="E84" s="29">
        <f t="shared" si="82"/>
        <v>8</v>
      </c>
      <c r="F84" s="40"/>
      <c r="G84" s="40">
        <f t="shared" si="83"/>
        <v>38205.259999999995</v>
      </c>
      <c r="H84" s="197"/>
      <c r="I84" s="67">
        <v>1</v>
      </c>
      <c r="J84" s="32">
        <v>5119.22</v>
      </c>
      <c r="K84" s="32">
        <f t="shared" si="84"/>
        <v>5119.22</v>
      </c>
      <c r="L84" s="197"/>
      <c r="M84" s="67">
        <v>5</v>
      </c>
      <c r="N84" s="32">
        <v>4357.9399999999996</v>
      </c>
      <c r="O84" s="32">
        <f t="shared" si="85"/>
        <v>21789.699999999997</v>
      </c>
      <c r="P84" s="197"/>
      <c r="Q84" s="67">
        <v>0</v>
      </c>
      <c r="R84" s="32">
        <f t="shared" si="86"/>
        <v>0</v>
      </c>
      <c r="S84" s="32">
        <f t="shared" si="87"/>
        <v>0</v>
      </c>
      <c r="T84" s="197"/>
      <c r="U84" s="67">
        <v>2</v>
      </c>
      <c r="V84" s="32">
        <v>5648.17</v>
      </c>
      <c r="W84" s="32">
        <f t="shared" si="89"/>
        <v>11296.34</v>
      </c>
      <c r="X84" s="197"/>
      <c r="Y84" s="67">
        <v>0</v>
      </c>
      <c r="Z84" s="32">
        <f t="shared" si="90"/>
        <v>0</v>
      </c>
      <c r="AA84" s="32">
        <f t="shared" si="91"/>
        <v>0</v>
      </c>
      <c r="AC84" s="322"/>
      <c r="AD84" s="322"/>
      <c r="AE84" s="322"/>
    </row>
    <row r="85" spans="1:31">
      <c r="A85" s="320" t="s">
        <v>20</v>
      </c>
      <c r="B85" s="321" t="s">
        <v>836</v>
      </c>
      <c r="C85" s="192" t="s">
        <v>837</v>
      </c>
      <c r="D85" s="197" t="s">
        <v>69</v>
      </c>
      <c r="E85" s="29">
        <f t="shared" si="82"/>
        <v>19</v>
      </c>
      <c r="F85" s="332"/>
      <c r="G85" s="40">
        <f t="shared" si="83"/>
        <v>35608.5</v>
      </c>
      <c r="H85" s="68"/>
      <c r="I85" s="67">
        <v>2</v>
      </c>
      <c r="J85" s="32">
        <v>1740.3</v>
      </c>
      <c r="K85" s="32">
        <f t="shared" si="84"/>
        <v>3480.6</v>
      </c>
      <c r="L85" s="68"/>
      <c r="M85" s="67">
        <v>4</v>
      </c>
      <c r="N85" s="32">
        <v>1470.9</v>
      </c>
      <c r="O85" s="32">
        <f t="shared" si="85"/>
        <v>5883.6</v>
      </c>
      <c r="P85" s="68"/>
      <c r="Q85" s="67">
        <v>9</v>
      </c>
      <c r="R85" s="32">
        <v>2064.39</v>
      </c>
      <c r="S85" s="32">
        <f t="shared" si="87"/>
        <v>18579.509999999998</v>
      </c>
      <c r="T85" s="68"/>
      <c r="U85" s="67">
        <v>3</v>
      </c>
      <c r="V85" s="32">
        <v>1776.48</v>
      </c>
      <c r="W85" s="32">
        <f t="shared" si="89"/>
        <v>5329.4400000000005</v>
      </c>
      <c r="X85" s="68"/>
      <c r="Y85" s="67">
        <v>1</v>
      </c>
      <c r="Z85" s="32">
        <v>2335.35</v>
      </c>
      <c r="AA85" s="32">
        <f t="shared" si="91"/>
        <v>2335.35</v>
      </c>
    </row>
    <row r="86" spans="1:31">
      <c r="A86" s="320" t="s">
        <v>20</v>
      </c>
      <c r="B86" s="321" t="s">
        <v>838</v>
      </c>
      <c r="C86" s="192" t="s">
        <v>521</v>
      </c>
      <c r="D86" s="197" t="s">
        <v>69</v>
      </c>
      <c r="E86" s="29">
        <f t="shared" si="82"/>
        <v>1</v>
      </c>
      <c r="F86" s="40"/>
      <c r="G86" s="40">
        <f t="shared" si="83"/>
        <v>1332.77</v>
      </c>
      <c r="H86" s="68"/>
      <c r="I86" s="67">
        <v>0</v>
      </c>
      <c r="J86" s="32">
        <f t="shared" ref="J86:J88" si="92">$F86</f>
        <v>0</v>
      </c>
      <c r="K86" s="32">
        <f t="shared" si="84"/>
        <v>0</v>
      </c>
      <c r="L86" s="68"/>
      <c r="M86" s="67">
        <v>0</v>
      </c>
      <c r="N86" s="32">
        <v>0</v>
      </c>
      <c r="O86" s="32">
        <f t="shared" si="85"/>
        <v>0</v>
      </c>
      <c r="P86" s="68"/>
      <c r="Q86" s="67">
        <v>1</v>
      </c>
      <c r="R86" s="32">
        <v>1332.77</v>
      </c>
      <c r="S86" s="32">
        <f t="shared" si="87"/>
        <v>1332.77</v>
      </c>
      <c r="T86" s="68"/>
      <c r="U86" s="67">
        <v>0</v>
      </c>
      <c r="V86" s="32">
        <f t="shared" si="88"/>
        <v>0</v>
      </c>
      <c r="W86" s="32">
        <f t="shared" si="89"/>
        <v>0</v>
      </c>
      <c r="X86" s="68"/>
      <c r="Y86" s="67">
        <v>0</v>
      </c>
      <c r="Z86" s="32">
        <f t="shared" si="90"/>
        <v>0</v>
      </c>
      <c r="AA86" s="32">
        <f t="shared" si="91"/>
        <v>0</v>
      </c>
    </row>
    <row r="87" spans="1:31" ht="69">
      <c r="A87" s="352" t="s">
        <v>20</v>
      </c>
      <c r="B87" s="353" t="s">
        <v>839</v>
      </c>
      <c r="C87" s="192" t="s">
        <v>841</v>
      </c>
      <c r="D87" s="197" t="s">
        <v>769</v>
      </c>
      <c r="E87" s="29">
        <f t="shared" si="82"/>
        <v>5</v>
      </c>
      <c r="F87" s="40"/>
      <c r="G87" s="40">
        <f t="shared" si="83"/>
        <v>11564.18</v>
      </c>
      <c r="H87" s="68"/>
      <c r="I87" s="67">
        <v>1</v>
      </c>
      <c r="J87" s="32">
        <v>1905.09</v>
      </c>
      <c r="K87" s="32">
        <f t="shared" si="84"/>
        <v>1905.09</v>
      </c>
      <c r="L87" s="68"/>
      <c r="M87" s="67">
        <v>1</v>
      </c>
      <c r="N87" s="32">
        <v>6178.62</v>
      </c>
      <c r="O87" s="32">
        <f t="shared" si="85"/>
        <v>6178.62</v>
      </c>
      <c r="P87" s="68"/>
      <c r="Q87" s="67">
        <v>1</v>
      </c>
      <c r="R87" s="32">
        <v>1347.39</v>
      </c>
      <c r="S87" s="32">
        <f t="shared" si="87"/>
        <v>1347.39</v>
      </c>
      <c r="T87" s="68"/>
      <c r="U87" s="67">
        <v>1</v>
      </c>
      <c r="V87" s="32">
        <v>785.69</v>
      </c>
      <c r="W87" s="32">
        <f t="shared" si="89"/>
        <v>785.69</v>
      </c>
      <c r="X87" s="68"/>
      <c r="Y87" s="67">
        <v>1</v>
      </c>
      <c r="Z87" s="32">
        <v>1347.39</v>
      </c>
      <c r="AA87" s="32">
        <f t="shared" si="91"/>
        <v>1347.39</v>
      </c>
    </row>
    <row r="88" spans="1:31">
      <c r="A88" s="320" t="s">
        <v>20</v>
      </c>
      <c r="B88" s="321" t="s">
        <v>840</v>
      </c>
      <c r="C88" s="192" t="s">
        <v>853</v>
      </c>
      <c r="D88" s="197" t="s">
        <v>69</v>
      </c>
      <c r="E88" s="29">
        <f t="shared" si="82"/>
        <v>4</v>
      </c>
      <c r="F88" s="40"/>
      <c r="G88" s="40">
        <f t="shared" si="83"/>
        <v>9292.36</v>
      </c>
      <c r="H88" s="68"/>
      <c r="I88" s="67">
        <v>0</v>
      </c>
      <c r="J88" s="32">
        <f t="shared" si="92"/>
        <v>0</v>
      </c>
      <c r="K88" s="32">
        <f t="shared" si="84"/>
        <v>0</v>
      </c>
      <c r="L88" s="68"/>
      <c r="M88" s="67">
        <v>2</v>
      </c>
      <c r="N88" s="32">
        <v>2323.09</v>
      </c>
      <c r="O88" s="32">
        <f t="shared" si="85"/>
        <v>4646.18</v>
      </c>
      <c r="P88" s="68"/>
      <c r="Q88" s="67">
        <v>0</v>
      </c>
      <c r="R88" s="32">
        <f t="shared" si="86"/>
        <v>0</v>
      </c>
      <c r="S88" s="32">
        <f t="shared" si="87"/>
        <v>0</v>
      </c>
      <c r="T88" s="68"/>
      <c r="U88" s="67">
        <v>2</v>
      </c>
      <c r="V88" s="32">
        <v>2323.09</v>
      </c>
      <c r="W88" s="32">
        <f t="shared" si="89"/>
        <v>4646.18</v>
      </c>
      <c r="X88" s="68"/>
      <c r="Y88" s="67">
        <v>0</v>
      </c>
      <c r="Z88" s="32">
        <f t="shared" si="90"/>
        <v>0</v>
      </c>
      <c r="AA88" s="32">
        <f t="shared" si="91"/>
        <v>0</v>
      </c>
    </row>
    <row r="89" spans="1:31">
      <c r="A89" s="320" t="s">
        <v>20</v>
      </c>
      <c r="B89" s="321" t="s">
        <v>842</v>
      </c>
      <c r="C89" s="192" t="s">
        <v>782</v>
      </c>
      <c r="D89" s="197" t="s">
        <v>6</v>
      </c>
      <c r="E89" s="29">
        <f t="shared" si="82"/>
        <v>5</v>
      </c>
      <c r="F89" s="32"/>
      <c r="G89" s="32">
        <f t="shared" si="83"/>
        <v>8960.5</v>
      </c>
      <c r="H89" s="68"/>
      <c r="I89" s="67">
        <v>1</v>
      </c>
      <c r="J89" s="32">
        <v>1792.1</v>
      </c>
      <c r="K89" s="32">
        <f t="shared" si="84"/>
        <v>1792.1</v>
      </c>
      <c r="L89" s="68"/>
      <c r="M89" s="67">
        <v>1</v>
      </c>
      <c r="N89" s="32">
        <v>1792.1</v>
      </c>
      <c r="O89" s="32">
        <f t="shared" si="85"/>
        <v>1792.1</v>
      </c>
      <c r="P89" s="68"/>
      <c r="Q89" s="67">
        <v>1</v>
      </c>
      <c r="R89" s="32">
        <v>1792.1</v>
      </c>
      <c r="S89" s="32">
        <f t="shared" si="87"/>
        <v>1792.1</v>
      </c>
      <c r="T89" s="68"/>
      <c r="U89" s="67">
        <v>1</v>
      </c>
      <c r="V89" s="32">
        <v>1792.1</v>
      </c>
      <c r="W89" s="32">
        <f t="shared" si="89"/>
        <v>1792.1</v>
      </c>
      <c r="X89" s="68"/>
      <c r="Y89" s="67">
        <v>1</v>
      </c>
      <c r="Z89" s="32">
        <v>1792.1</v>
      </c>
      <c r="AA89" s="32">
        <f t="shared" si="91"/>
        <v>1792.1</v>
      </c>
    </row>
    <row r="90" spans="1:31">
      <c r="A90" s="35"/>
      <c r="B90" s="27"/>
      <c r="C90" s="36"/>
      <c r="D90" s="68"/>
      <c r="E90" s="369"/>
      <c r="F90" s="33"/>
      <c r="G90" s="34"/>
      <c r="H90" s="68"/>
      <c r="I90" s="369"/>
      <c r="J90" s="33"/>
      <c r="K90" s="34"/>
      <c r="L90" s="68"/>
      <c r="M90" s="369"/>
      <c r="N90" s="33"/>
      <c r="O90" s="34"/>
      <c r="P90" s="68"/>
      <c r="Q90" s="369"/>
      <c r="R90" s="33"/>
      <c r="S90" s="34"/>
      <c r="T90" s="68"/>
      <c r="U90" s="369"/>
      <c r="V90" s="33"/>
      <c r="W90" s="34"/>
      <c r="X90" s="68"/>
      <c r="Y90" s="369"/>
      <c r="Z90" s="33"/>
      <c r="AA90" s="34"/>
    </row>
    <row r="91" spans="1:31">
      <c r="A91" s="35"/>
      <c r="B91" s="27"/>
      <c r="C91" s="38" t="s">
        <v>520</v>
      </c>
      <c r="D91" s="68"/>
      <c r="E91" s="369"/>
      <c r="F91" s="33" t="s">
        <v>10</v>
      </c>
      <c r="G91" s="34">
        <f>K91+O91+S91+W91+AA91</f>
        <v>111094.41</v>
      </c>
      <c r="H91" s="68"/>
      <c r="I91" s="369"/>
      <c r="J91" s="33" t="s">
        <v>10</v>
      </c>
      <c r="K91" s="34">
        <f>SUM(K82:K90)</f>
        <v>15501.230000000001</v>
      </c>
      <c r="L91" s="68"/>
      <c r="M91" s="369"/>
      <c r="N91" s="33" t="s">
        <v>10</v>
      </c>
      <c r="O91" s="34">
        <f>SUM(O82:O90)</f>
        <v>43216.82</v>
      </c>
      <c r="P91" s="68"/>
      <c r="Q91" s="369"/>
      <c r="R91" s="33" t="s">
        <v>10</v>
      </c>
      <c r="S91" s="34">
        <f>SUM(S82:S90)</f>
        <v>23051.769999999997</v>
      </c>
      <c r="T91" s="68"/>
      <c r="U91" s="369"/>
      <c r="V91" s="33" t="s">
        <v>10</v>
      </c>
      <c r="W91" s="34">
        <f>SUM(W82:W90)</f>
        <v>23849.749999999996</v>
      </c>
      <c r="X91" s="68"/>
      <c r="Y91" s="369"/>
      <c r="Z91" s="33" t="s">
        <v>10</v>
      </c>
      <c r="AA91" s="34">
        <f>SUM(AA82:AA90)</f>
        <v>5474.84</v>
      </c>
    </row>
    <row r="92" spans="1:31">
      <c r="A92" s="14"/>
      <c r="B92" s="31"/>
      <c r="C92" s="28"/>
      <c r="D92" s="67"/>
      <c r="E92" s="67"/>
      <c r="F92" s="33"/>
      <c r="G92" s="34"/>
      <c r="H92" s="67"/>
      <c r="I92" s="67"/>
      <c r="J92" s="33"/>
      <c r="K92" s="34"/>
      <c r="L92" s="67"/>
      <c r="M92" s="67"/>
      <c r="N92" s="33"/>
      <c r="O92" s="34"/>
      <c r="P92" s="67"/>
      <c r="Q92" s="67"/>
      <c r="R92" s="33"/>
      <c r="S92" s="34"/>
      <c r="T92" s="67"/>
      <c r="U92" s="67"/>
      <c r="V92" s="33"/>
      <c r="W92" s="34"/>
      <c r="X92" s="67"/>
      <c r="Y92" s="67"/>
      <c r="Z92" s="33"/>
      <c r="AA92" s="34"/>
    </row>
    <row r="93" spans="1:31">
      <c r="A93" s="62" t="s">
        <v>719</v>
      </c>
      <c r="B93" s="62">
        <v>8</v>
      </c>
      <c r="C93" s="63" t="s">
        <v>134</v>
      </c>
      <c r="D93" s="64"/>
      <c r="E93" s="366"/>
      <c r="F93" s="66"/>
      <c r="G93" s="66"/>
      <c r="H93" s="64"/>
      <c r="I93" s="366"/>
      <c r="J93" s="66"/>
      <c r="K93" s="66"/>
      <c r="L93" s="64"/>
      <c r="M93" s="366"/>
      <c r="N93" s="66"/>
      <c r="O93" s="66"/>
      <c r="P93" s="64"/>
      <c r="Q93" s="366"/>
      <c r="R93" s="66"/>
      <c r="S93" s="66"/>
      <c r="T93" s="64"/>
      <c r="U93" s="366"/>
      <c r="V93" s="66"/>
      <c r="W93" s="66"/>
      <c r="X93" s="64"/>
      <c r="Y93" s="366"/>
      <c r="Z93" s="66"/>
      <c r="AA93" s="66"/>
    </row>
    <row r="94" spans="1:31" s="355" customFormat="1" ht="41.4">
      <c r="A94" s="320"/>
      <c r="B94" s="321" t="s">
        <v>783</v>
      </c>
      <c r="C94" s="192" t="s">
        <v>843</v>
      </c>
      <c r="D94" s="354"/>
      <c r="E94" s="197"/>
      <c r="F94" s="40"/>
      <c r="G94" s="40"/>
      <c r="H94" s="354"/>
      <c r="I94" s="370"/>
      <c r="J94" s="40"/>
      <c r="K94" s="40"/>
      <c r="L94" s="354"/>
      <c r="M94" s="370"/>
      <c r="N94" s="40"/>
      <c r="O94" s="40"/>
      <c r="P94" s="354"/>
      <c r="Q94" s="370"/>
      <c r="R94" s="40"/>
      <c r="S94" s="40"/>
      <c r="T94" s="354"/>
      <c r="U94" s="370"/>
      <c r="V94" s="356"/>
      <c r="W94" s="40"/>
      <c r="X94" s="354"/>
      <c r="Y94" s="370"/>
      <c r="Z94" s="32">
        <f t="shared" ref="Z94:Z105" si="93">$F94</f>
        <v>0</v>
      </c>
      <c r="AA94" s="32">
        <f t="shared" ref="AA94:AA105" si="94">Y94*Z94</f>
        <v>0</v>
      </c>
    </row>
    <row r="95" spans="1:31" s="355" customFormat="1">
      <c r="A95" s="320"/>
      <c r="B95" s="321"/>
      <c r="C95" s="351" t="s">
        <v>844</v>
      </c>
      <c r="D95" s="354" t="s">
        <v>69</v>
      </c>
      <c r="E95" s="29">
        <f>I95+M95+Q95+U95+Y95</f>
        <v>9</v>
      </c>
      <c r="F95" s="40"/>
      <c r="G95" s="40">
        <f>K95+O95+S95+W95+AA95</f>
        <v>1167.1200000000001</v>
      </c>
      <c r="H95" s="354"/>
      <c r="I95" s="67">
        <v>0</v>
      </c>
      <c r="J95" s="32">
        <f t="shared" ref="J95" si="95">$F95</f>
        <v>0</v>
      </c>
      <c r="K95" s="32">
        <f t="shared" ref="K95:K96" si="96">I95*J95</f>
        <v>0</v>
      </c>
      <c r="L95" s="354"/>
      <c r="M95" s="67">
        <v>8</v>
      </c>
      <c r="N95" s="32">
        <v>129.68</v>
      </c>
      <c r="O95" s="32">
        <f t="shared" ref="O95:O97" si="97">M95*N95</f>
        <v>1037.44</v>
      </c>
      <c r="P95" s="354"/>
      <c r="Q95" s="67">
        <v>0</v>
      </c>
      <c r="R95" s="32">
        <f t="shared" ref="R95:R97" si="98">$F95</f>
        <v>0</v>
      </c>
      <c r="S95" s="32">
        <f t="shared" ref="S95:S97" si="99">Q95*R95</f>
        <v>0</v>
      </c>
      <c r="T95" s="354"/>
      <c r="U95" s="67">
        <v>1</v>
      </c>
      <c r="V95" s="32">
        <v>129.68</v>
      </c>
      <c r="W95" s="32">
        <f t="shared" ref="W95:W97" si="100">U95*V95</f>
        <v>129.68</v>
      </c>
      <c r="X95" s="354"/>
      <c r="Y95" s="67">
        <v>0</v>
      </c>
      <c r="Z95" s="32">
        <f t="shared" si="93"/>
        <v>0</v>
      </c>
      <c r="AA95" s="32">
        <f t="shared" si="94"/>
        <v>0</v>
      </c>
    </row>
    <row r="96" spans="1:31" s="355" customFormat="1">
      <c r="A96" s="320"/>
      <c r="B96" s="321"/>
      <c r="C96" s="351" t="s">
        <v>845</v>
      </c>
      <c r="D96" s="354" t="s">
        <v>69</v>
      </c>
      <c r="E96" s="29">
        <f>I96+M96+Q96+U96+Y96</f>
        <v>11</v>
      </c>
      <c r="F96" s="40"/>
      <c r="G96" s="40">
        <f>K96+O96+S96+W96+AA96</f>
        <v>2773.76</v>
      </c>
      <c r="H96" s="354"/>
      <c r="I96" s="67">
        <v>6</v>
      </c>
      <c r="J96" s="32">
        <v>252.16</v>
      </c>
      <c r="K96" s="32">
        <f t="shared" si="96"/>
        <v>1512.96</v>
      </c>
      <c r="L96" s="354"/>
      <c r="M96" s="67">
        <v>3</v>
      </c>
      <c r="N96" s="32">
        <v>252.16</v>
      </c>
      <c r="O96" s="32">
        <f t="shared" si="97"/>
        <v>756.48</v>
      </c>
      <c r="P96" s="354"/>
      <c r="Q96" s="67">
        <v>0</v>
      </c>
      <c r="R96" s="32">
        <f t="shared" si="98"/>
        <v>0</v>
      </c>
      <c r="S96" s="32">
        <f t="shared" si="99"/>
        <v>0</v>
      </c>
      <c r="T96" s="354"/>
      <c r="U96" s="67">
        <v>2</v>
      </c>
      <c r="V96" s="32">
        <v>252.16</v>
      </c>
      <c r="W96" s="32">
        <f t="shared" si="100"/>
        <v>504.32</v>
      </c>
      <c r="X96" s="354"/>
      <c r="Y96" s="67">
        <v>0</v>
      </c>
      <c r="Z96" s="32">
        <f t="shared" si="93"/>
        <v>0</v>
      </c>
      <c r="AA96" s="32">
        <f t="shared" si="94"/>
        <v>0</v>
      </c>
    </row>
    <row r="97" spans="1:31" s="355" customFormat="1">
      <c r="A97" s="320"/>
      <c r="B97" s="321"/>
      <c r="C97" s="351" t="s">
        <v>846</v>
      </c>
      <c r="D97" s="354" t="s">
        <v>69</v>
      </c>
      <c r="E97" s="29">
        <f>I97+M97+Q97+U97+Y97</f>
        <v>5</v>
      </c>
      <c r="F97" s="40"/>
      <c r="G97" s="40">
        <f>K97+O97+S97+W97+AA97</f>
        <v>1801.1000000000001</v>
      </c>
      <c r="H97" s="354"/>
      <c r="I97" s="67">
        <v>1</v>
      </c>
      <c r="J97" s="32">
        <v>360.22</v>
      </c>
      <c r="K97" s="32">
        <f>I97*J97</f>
        <v>360.22</v>
      </c>
      <c r="L97" s="354"/>
      <c r="M97" s="67">
        <v>0</v>
      </c>
      <c r="N97" s="32">
        <f t="shared" ref="N97" si="101">$F97</f>
        <v>0</v>
      </c>
      <c r="O97" s="32">
        <f t="shared" si="97"/>
        <v>0</v>
      </c>
      <c r="P97" s="354"/>
      <c r="Q97" s="67">
        <v>0</v>
      </c>
      <c r="R97" s="32">
        <f t="shared" si="98"/>
        <v>0</v>
      </c>
      <c r="S97" s="32">
        <f t="shared" si="99"/>
        <v>0</v>
      </c>
      <c r="T97" s="354"/>
      <c r="U97" s="67">
        <v>4</v>
      </c>
      <c r="V97" s="32">
        <v>360.22</v>
      </c>
      <c r="W97" s="32">
        <f t="shared" si="100"/>
        <v>1440.88</v>
      </c>
      <c r="X97" s="354"/>
      <c r="Y97" s="67">
        <v>0</v>
      </c>
      <c r="Z97" s="32">
        <f t="shared" si="93"/>
        <v>0</v>
      </c>
      <c r="AA97" s="32">
        <f t="shared" si="94"/>
        <v>0</v>
      </c>
    </row>
    <row r="98" spans="1:31" s="355" customFormat="1">
      <c r="A98" s="320"/>
      <c r="B98" s="321" t="s">
        <v>784</v>
      </c>
      <c r="C98" s="192" t="s">
        <v>785</v>
      </c>
      <c r="D98" s="354"/>
      <c r="E98" s="29"/>
      <c r="F98" s="40"/>
      <c r="G98" s="40"/>
      <c r="H98" s="354"/>
      <c r="I98" s="370"/>
      <c r="J98" s="40"/>
      <c r="K98" s="40"/>
      <c r="L98" s="354"/>
      <c r="M98" s="370" t="s">
        <v>897</v>
      </c>
      <c r="N98" s="40"/>
      <c r="O98" s="40"/>
      <c r="P98" s="354"/>
      <c r="Q98" s="370"/>
      <c r="R98" s="40"/>
      <c r="S98" s="40"/>
      <c r="T98" s="354"/>
      <c r="U98" s="370"/>
      <c r="V98" s="40"/>
      <c r="W98" s="40"/>
      <c r="X98" s="354"/>
      <c r="Y98" s="370"/>
      <c r="Z98" s="32">
        <f t="shared" si="93"/>
        <v>0</v>
      </c>
      <c r="AA98" s="32">
        <f t="shared" si="94"/>
        <v>0</v>
      </c>
    </row>
    <row r="99" spans="1:31" s="355" customFormat="1">
      <c r="A99" s="320"/>
      <c r="B99" s="321"/>
      <c r="C99" s="351" t="s">
        <v>786</v>
      </c>
      <c r="D99" s="354" t="s">
        <v>70</v>
      </c>
      <c r="E99" s="29">
        <f t="shared" ref="E99:E105" si="102">I99+M99+Q99+U99+Y99</f>
        <v>62.800000000000004</v>
      </c>
      <c r="F99" s="40"/>
      <c r="G99" s="40">
        <f t="shared" ref="G99:G105" si="103">K99+O99+S99+W99+AA99</f>
        <v>4556.768</v>
      </c>
      <c r="H99" s="354"/>
      <c r="I99" s="67">
        <v>10.600000000000001</v>
      </c>
      <c r="J99" s="32">
        <v>72.56</v>
      </c>
      <c r="K99" s="32">
        <f t="shared" ref="K99:K105" si="104">I99*J99</f>
        <v>769.13600000000008</v>
      </c>
      <c r="L99" s="354"/>
      <c r="M99" s="67">
        <v>37.200000000000003</v>
      </c>
      <c r="N99" s="32">
        <v>72.56</v>
      </c>
      <c r="O99" s="32">
        <f t="shared" ref="O99:O105" si="105">M99*N99</f>
        <v>2699.2320000000004</v>
      </c>
      <c r="P99" s="354"/>
      <c r="Q99" s="67">
        <v>0</v>
      </c>
      <c r="R99" s="32">
        <f t="shared" ref="R99:R105" si="106">$F99</f>
        <v>0</v>
      </c>
      <c r="S99" s="32">
        <f t="shared" ref="S99:S105" si="107">Q99*R99</f>
        <v>0</v>
      </c>
      <c r="T99" s="354"/>
      <c r="U99" s="67">
        <v>15</v>
      </c>
      <c r="V99" s="32">
        <v>72.56</v>
      </c>
      <c r="W99" s="32">
        <f t="shared" ref="W99:W105" si="108">U99*V99</f>
        <v>1088.4000000000001</v>
      </c>
      <c r="X99" s="354"/>
      <c r="Y99" s="67">
        <v>0</v>
      </c>
      <c r="Z99" s="32">
        <f t="shared" si="93"/>
        <v>0</v>
      </c>
      <c r="AA99" s="32">
        <f t="shared" si="94"/>
        <v>0</v>
      </c>
    </row>
    <row r="100" spans="1:31" s="355" customFormat="1">
      <c r="A100" s="320"/>
      <c r="B100" s="321"/>
      <c r="C100" s="351" t="s">
        <v>787</v>
      </c>
      <c r="D100" s="354" t="s">
        <v>70</v>
      </c>
      <c r="E100" s="29">
        <f t="shared" si="102"/>
        <v>92</v>
      </c>
      <c r="F100" s="40"/>
      <c r="G100" s="40">
        <f t="shared" si="103"/>
        <v>3084.76</v>
      </c>
      <c r="H100" s="354"/>
      <c r="I100" s="67">
        <v>10</v>
      </c>
      <c r="J100" s="32">
        <v>33.53</v>
      </c>
      <c r="K100" s="32">
        <f t="shared" si="104"/>
        <v>335.3</v>
      </c>
      <c r="L100" s="354"/>
      <c r="M100" s="67">
        <v>58</v>
      </c>
      <c r="N100" s="32">
        <v>33.53</v>
      </c>
      <c r="O100" s="32">
        <f t="shared" si="105"/>
        <v>1944.74</v>
      </c>
      <c r="P100" s="354"/>
      <c r="Q100" s="67">
        <v>0</v>
      </c>
      <c r="R100" s="32">
        <f t="shared" si="106"/>
        <v>0</v>
      </c>
      <c r="S100" s="32">
        <f t="shared" si="107"/>
        <v>0</v>
      </c>
      <c r="T100" s="354"/>
      <c r="U100" s="67">
        <v>24</v>
      </c>
      <c r="V100" s="32">
        <v>33.53</v>
      </c>
      <c r="W100" s="32">
        <f t="shared" si="108"/>
        <v>804.72</v>
      </c>
      <c r="X100" s="354"/>
      <c r="Y100" s="67">
        <v>0</v>
      </c>
      <c r="Z100" s="32">
        <f t="shared" si="93"/>
        <v>0</v>
      </c>
      <c r="AA100" s="32">
        <f t="shared" si="94"/>
        <v>0</v>
      </c>
    </row>
    <row r="101" spans="1:31" s="355" customFormat="1" ht="27.6">
      <c r="A101" s="320"/>
      <c r="B101" s="321"/>
      <c r="C101" s="351" t="s">
        <v>847</v>
      </c>
      <c r="D101" s="354" t="s">
        <v>70</v>
      </c>
      <c r="E101" s="29">
        <f t="shared" si="102"/>
        <v>92</v>
      </c>
      <c r="F101" s="40"/>
      <c r="G101" s="40">
        <f t="shared" si="103"/>
        <v>10003.16</v>
      </c>
      <c r="H101" s="354"/>
      <c r="I101" s="67">
        <v>10</v>
      </c>
      <c r="J101" s="32">
        <v>108.73</v>
      </c>
      <c r="K101" s="32">
        <f t="shared" si="104"/>
        <v>1087.3</v>
      </c>
      <c r="L101" s="354"/>
      <c r="M101" s="67">
        <v>58</v>
      </c>
      <c r="N101" s="32">
        <v>108.73</v>
      </c>
      <c r="O101" s="32">
        <f t="shared" si="105"/>
        <v>6306.34</v>
      </c>
      <c r="P101" s="354"/>
      <c r="Q101" s="67">
        <v>0</v>
      </c>
      <c r="R101" s="32">
        <f t="shared" si="106"/>
        <v>0</v>
      </c>
      <c r="S101" s="32">
        <f t="shared" si="107"/>
        <v>0</v>
      </c>
      <c r="T101" s="354"/>
      <c r="U101" s="67">
        <v>24</v>
      </c>
      <c r="V101" s="32">
        <v>108.73</v>
      </c>
      <c r="W101" s="32">
        <f t="shared" si="108"/>
        <v>2609.52</v>
      </c>
      <c r="X101" s="354"/>
      <c r="Y101" s="67">
        <v>0</v>
      </c>
      <c r="Z101" s="32">
        <f t="shared" si="93"/>
        <v>0</v>
      </c>
      <c r="AA101" s="32">
        <f t="shared" si="94"/>
        <v>0</v>
      </c>
    </row>
    <row r="102" spans="1:31" s="355" customFormat="1">
      <c r="A102" s="320"/>
      <c r="B102" s="321" t="s">
        <v>788</v>
      </c>
      <c r="C102" s="192" t="s">
        <v>789</v>
      </c>
      <c r="D102" s="354" t="s">
        <v>769</v>
      </c>
      <c r="E102" s="29">
        <f t="shared" si="102"/>
        <v>5</v>
      </c>
      <c r="F102" s="40"/>
      <c r="G102" s="40">
        <f t="shared" si="103"/>
        <v>6027.1</v>
      </c>
      <c r="H102" s="354"/>
      <c r="I102" s="67">
        <v>1</v>
      </c>
      <c r="J102" s="32">
        <v>1205.42</v>
      </c>
      <c r="K102" s="32">
        <f t="shared" si="104"/>
        <v>1205.42</v>
      </c>
      <c r="L102" s="354"/>
      <c r="M102" s="67">
        <v>2</v>
      </c>
      <c r="N102" s="32">
        <v>1205.42</v>
      </c>
      <c r="O102" s="32">
        <f t="shared" si="105"/>
        <v>2410.84</v>
      </c>
      <c r="P102" s="354"/>
      <c r="Q102" s="67">
        <v>0</v>
      </c>
      <c r="R102" s="32">
        <f t="shared" si="106"/>
        <v>0</v>
      </c>
      <c r="S102" s="32">
        <f t="shared" si="107"/>
        <v>0</v>
      </c>
      <c r="T102" s="354"/>
      <c r="U102" s="67">
        <v>1</v>
      </c>
      <c r="V102" s="32">
        <v>1205.42</v>
      </c>
      <c r="W102" s="32">
        <f t="shared" si="108"/>
        <v>1205.42</v>
      </c>
      <c r="X102" s="354"/>
      <c r="Y102" s="67">
        <v>1</v>
      </c>
      <c r="Z102" s="32">
        <v>1205.42</v>
      </c>
      <c r="AA102" s="32">
        <f t="shared" si="94"/>
        <v>1205.42</v>
      </c>
    </row>
    <row r="103" spans="1:31" s="355" customFormat="1">
      <c r="A103" s="320"/>
      <c r="B103" s="321" t="s">
        <v>790</v>
      </c>
      <c r="C103" s="192" t="s">
        <v>517</v>
      </c>
      <c r="D103" s="197" t="s">
        <v>11</v>
      </c>
      <c r="E103" s="29">
        <f t="shared" si="102"/>
        <v>1</v>
      </c>
      <c r="F103" s="40"/>
      <c r="G103" s="40">
        <f t="shared" si="103"/>
        <v>1342.92</v>
      </c>
      <c r="H103" s="197"/>
      <c r="I103" s="67">
        <v>1</v>
      </c>
      <c r="J103" s="32">
        <v>1342.92</v>
      </c>
      <c r="K103" s="32">
        <f t="shared" si="104"/>
        <v>1342.92</v>
      </c>
      <c r="L103" s="197"/>
      <c r="M103" s="67">
        <v>0</v>
      </c>
      <c r="N103" s="32">
        <f t="shared" ref="N103:N105" si="109">$F103</f>
        <v>0</v>
      </c>
      <c r="O103" s="32">
        <f t="shared" si="105"/>
        <v>0</v>
      </c>
      <c r="P103" s="197"/>
      <c r="Q103" s="67">
        <v>0</v>
      </c>
      <c r="R103" s="32">
        <f t="shared" si="106"/>
        <v>0</v>
      </c>
      <c r="S103" s="32">
        <f t="shared" si="107"/>
        <v>0</v>
      </c>
      <c r="T103" s="197"/>
      <c r="U103" s="67">
        <v>0</v>
      </c>
      <c r="V103" s="32">
        <f t="shared" ref="V103:V105" si="110">$F103</f>
        <v>0</v>
      </c>
      <c r="W103" s="32">
        <f t="shared" si="108"/>
        <v>0</v>
      </c>
      <c r="X103" s="197"/>
      <c r="Y103" s="67">
        <v>0</v>
      </c>
      <c r="Z103" s="32">
        <f t="shared" si="93"/>
        <v>0</v>
      </c>
      <c r="AA103" s="32">
        <f t="shared" si="94"/>
        <v>0</v>
      </c>
      <c r="AC103" s="350"/>
      <c r="AD103" s="350"/>
      <c r="AE103" s="350"/>
    </row>
    <row r="104" spans="1:31" s="355" customFormat="1">
      <c r="A104" s="320"/>
      <c r="B104" s="321" t="s">
        <v>791</v>
      </c>
      <c r="C104" s="192" t="s">
        <v>518</v>
      </c>
      <c r="D104" s="197" t="s">
        <v>11</v>
      </c>
      <c r="E104" s="29">
        <f t="shared" si="102"/>
        <v>1</v>
      </c>
      <c r="F104" s="40"/>
      <c r="G104" s="40">
        <f t="shared" si="103"/>
        <v>1342.92</v>
      </c>
      <c r="H104" s="197"/>
      <c r="I104" s="67">
        <v>0</v>
      </c>
      <c r="J104" s="32">
        <f t="shared" ref="J104" si="111">$F104</f>
        <v>0</v>
      </c>
      <c r="K104" s="32">
        <f t="shared" si="104"/>
        <v>0</v>
      </c>
      <c r="L104" s="197"/>
      <c r="M104" s="67">
        <v>1</v>
      </c>
      <c r="N104" s="32">
        <v>1342.92</v>
      </c>
      <c r="O104" s="32">
        <f t="shared" si="105"/>
        <v>1342.92</v>
      </c>
      <c r="P104" s="197"/>
      <c r="Q104" s="67">
        <v>0</v>
      </c>
      <c r="R104" s="32">
        <f t="shared" si="106"/>
        <v>0</v>
      </c>
      <c r="S104" s="32">
        <f t="shared" si="107"/>
        <v>0</v>
      </c>
      <c r="T104" s="197"/>
      <c r="U104" s="67">
        <v>0</v>
      </c>
      <c r="V104" s="32">
        <f t="shared" si="110"/>
        <v>0</v>
      </c>
      <c r="W104" s="32">
        <f t="shared" si="108"/>
        <v>0</v>
      </c>
      <c r="X104" s="197"/>
      <c r="Y104" s="67">
        <v>0</v>
      </c>
      <c r="Z104" s="32">
        <f t="shared" si="93"/>
        <v>0</v>
      </c>
      <c r="AA104" s="32">
        <f t="shared" si="94"/>
        <v>0</v>
      </c>
      <c r="AC104" s="350"/>
      <c r="AD104" s="350"/>
      <c r="AE104" s="350"/>
    </row>
    <row r="105" spans="1:31" s="355" customFormat="1">
      <c r="A105" s="320"/>
      <c r="B105" s="321" t="s">
        <v>792</v>
      </c>
      <c r="C105" s="192" t="s">
        <v>793</v>
      </c>
      <c r="D105" s="197" t="s">
        <v>69</v>
      </c>
      <c r="E105" s="29">
        <f t="shared" si="102"/>
        <v>1</v>
      </c>
      <c r="F105" s="40"/>
      <c r="G105" s="40">
        <f t="shared" si="103"/>
        <v>4546.7</v>
      </c>
      <c r="H105" s="197"/>
      <c r="I105" s="67">
        <v>1</v>
      </c>
      <c r="J105" s="32">
        <v>4546.7</v>
      </c>
      <c r="K105" s="32">
        <f t="shared" si="104"/>
        <v>4546.7</v>
      </c>
      <c r="L105" s="197"/>
      <c r="M105" s="67">
        <v>0</v>
      </c>
      <c r="N105" s="32">
        <f t="shared" si="109"/>
        <v>0</v>
      </c>
      <c r="O105" s="32">
        <f t="shared" si="105"/>
        <v>0</v>
      </c>
      <c r="P105" s="197"/>
      <c r="Q105" s="67">
        <v>0</v>
      </c>
      <c r="R105" s="32">
        <f t="shared" si="106"/>
        <v>0</v>
      </c>
      <c r="S105" s="32">
        <f t="shared" si="107"/>
        <v>0</v>
      </c>
      <c r="T105" s="197"/>
      <c r="U105" s="67">
        <v>0</v>
      </c>
      <c r="V105" s="32">
        <f t="shared" si="110"/>
        <v>0</v>
      </c>
      <c r="W105" s="32">
        <f t="shared" si="108"/>
        <v>0</v>
      </c>
      <c r="X105" s="197"/>
      <c r="Y105" s="67">
        <v>0</v>
      </c>
      <c r="Z105" s="32">
        <f t="shared" si="93"/>
        <v>0</v>
      </c>
      <c r="AA105" s="32">
        <f t="shared" si="94"/>
        <v>0</v>
      </c>
      <c r="AC105" s="350"/>
      <c r="AD105" s="350"/>
      <c r="AE105" s="350"/>
    </row>
    <row r="106" spans="1:31">
      <c r="A106" s="320"/>
      <c r="B106" s="321"/>
      <c r="C106" s="192"/>
      <c r="D106" s="197"/>
      <c r="E106" s="197"/>
      <c r="F106" s="40"/>
      <c r="G106" s="40"/>
      <c r="H106" s="197"/>
      <c r="I106" s="197"/>
      <c r="J106" s="40"/>
      <c r="K106" s="40"/>
      <c r="L106" s="197"/>
      <c r="M106" s="197"/>
      <c r="N106" s="40"/>
      <c r="O106" s="40"/>
      <c r="P106" s="197"/>
      <c r="Q106" s="197"/>
      <c r="R106" s="40"/>
      <c r="S106" s="40"/>
      <c r="T106" s="197"/>
      <c r="U106" s="197"/>
      <c r="V106" s="40"/>
      <c r="W106" s="40"/>
      <c r="X106" s="197"/>
      <c r="Y106" s="197"/>
      <c r="Z106" s="40"/>
      <c r="AA106" s="40"/>
      <c r="AC106" s="322"/>
      <c r="AD106" s="322"/>
      <c r="AE106" s="322"/>
    </row>
    <row r="107" spans="1:31">
      <c r="A107" s="35"/>
      <c r="B107" s="27"/>
      <c r="C107" s="38" t="s">
        <v>135</v>
      </c>
      <c r="D107" s="68"/>
      <c r="E107" s="369"/>
      <c r="F107" s="33" t="s">
        <v>10</v>
      </c>
      <c r="G107" s="34">
        <f>K107+O107+S107+W107+AA107</f>
        <v>36646.307999999997</v>
      </c>
      <c r="H107" s="68"/>
      <c r="I107" s="369"/>
      <c r="J107" s="33" t="s">
        <v>10</v>
      </c>
      <c r="K107" s="34">
        <f>SUM(K93:K106)</f>
        <v>11159.956</v>
      </c>
      <c r="L107" s="68"/>
      <c r="M107" s="369"/>
      <c r="N107" s="33" t="s">
        <v>10</v>
      </c>
      <c r="O107" s="34">
        <f>SUM(O93:O106)</f>
        <v>16497.991999999998</v>
      </c>
      <c r="P107" s="68"/>
      <c r="Q107" s="369"/>
      <c r="R107" s="33" t="s">
        <v>10</v>
      </c>
      <c r="S107" s="34">
        <f>SUM(S93:S106)</f>
        <v>0</v>
      </c>
      <c r="T107" s="68"/>
      <c r="U107" s="369"/>
      <c r="V107" s="33" t="s">
        <v>10</v>
      </c>
      <c r="W107" s="34">
        <f>SUM(W93:W106)</f>
        <v>7782.9400000000005</v>
      </c>
      <c r="X107" s="68"/>
      <c r="Y107" s="369"/>
      <c r="Z107" s="33" t="s">
        <v>10</v>
      </c>
      <c r="AA107" s="34">
        <f>SUM(AA93:AA106)</f>
        <v>1205.42</v>
      </c>
    </row>
    <row r="108" spans="1:31">
      <c r="A108" s="14"/>
      <c r="B108" s="31"/>
      <c r="C108" s="38"/>
      <c r="D108" s="69"/>
      <c r="E108" s="37"/>
      <c r="F108" s="30"/>
      <c r="G108" s="34"/>
      <c r="H108" s="69"/>
      <c r="I108" s="37"/>
      <c r="J108" s="30"/>
      <c r="K108" s="34"/>
      <c r="L108" s="69"/>
      <c r="M108" s="37"/>
      <c r="N108" s="30"/>
      <c r="O108" s="34"/>
      <c r="P108" s="69"/>
      <c r="Q108" s="37"/>
      <c r="R108" s="30"/>
      <c r="S108" s="34"/>
      <c r="T108" s="69"/>
      <c r="U108" s="37"/>
      <c r="V108" s="30"/>
      <c r="W108" s="34"/>
      <c r="X108" s="69"/>
      <c r="Y108" s="37"/>
      <c r="Z108" s="30"/>
      <c r="AA108" s="34"/>
    </row>
    <row r="109" spans="1:31">
      <c r="A109" s="14"/>
      <c r="B109" s="31"/>
      <c r="C109" s="38"/>
      <c r="D109" s="69"/>
      <c r="E109" s="37"/>
      <c r="F109" s="30"/>
      <c r="G109" s="34"/>
      <c r="H109" s="69"/>
      <c r="I109" s="37"/>
      <c r="J109" s="30"/>
      <c r="K109" s="34"/>
      <c r="L109" s="69"/>
      <c r="M109" s="37"/>
      <c r="N109" s="30"/>
      <c r="O109" s="34"/>
      <c r="P109" s="69"/>
      <c r="Q109" s="37"/>
      <c r="R109" s="30"/>
      <c r="S109" s="34"/>
      <c r="T109" s="69"/>
      <c r="U109" s="37"/>
      <c r="V109" s="30"/>
      <c r="W109" s="34"/>
      <c r="X109" s="69"/>
      <c r="Y109" s="37"/>
      <c r="Z109" s="30"/>
      <c r="AA109" s="34"/>
    </row>
    <row r="110" spans="1:31" ht="6" customHeight="1">
      <c r="A110" s="70"/>
      <c r="B110" s="41"/>
      <c r="C110" s="42"/>
      <c r="D110" s="41"/>
      <c r="E110" s="41"/>
      <c r="F110" s="44"/>
      <c r="G110" s="44"/>
      <c r="H110" s="41"/>
      <c r="I110" s="43"/>
      <c r="J110" s="44"/>
      <c r="K110" s="44"/>
      <c r="L110" s="41"/>
      <c r="M110" s="43"/>
      <c r="N110" s="44"/>
      <c r="O110" s="44"/>
      <c r="P110" s="41"/>
      <c r="Q110" s="43"/>
      <c r="R110" s="44"/>
      <c r="S110" s="44"/>
      <c r="T110" s="41"/>
      <c r="U110" s="43"/>
      <c r="V110" s="44"/>
      <c r="W110" s="44"/>
      <c r="X110" s="41"/>
      <c r="Y110" s="43"/>
      <c r="Z110" s="44"/>
      <c r="AA110" s="44"/>
    </row>
    <row r="111" spans="1:31" s="56" customFormat="1">
      <c r="A111" s="71"/>
      <c r="B111" s="72"/>
      <c r="C111" s="53" t="s">
        <v>7</v>
      </c>
      <c r="D111" s="52"/>
      <c r="E111" s="52"/>
      <c r="F111" s="55"/>
      <c r="G111" s="55">
        <f>K111+O111+S111+W111+AA111</f>
        <v>781819.49049799994</v>
      </c>
      <c r="H111" s="52"/>
      <c r="I111" s="54"/>
      <c r="J111" s="55"/>
      <c r="K111" s="55">
        <f>K10+K16+K23+K39+K58+K79+K91+K107</f>
        <v>187142.44603000002</v>
      </c>
      <c r="L111" s="52"/>
      <c r="M111" s="54"/>
      <c r="N111" s="55"/>
      <c r="O111" s="55">
        <f>O10+O16+O23+O39+O58+O79+O91+O107</f>
        <v>365232.97304399998</v>
      </c>
      <c r="P111" s="52"/>
      <c r="Q111" s="54"/>
      <c r="R111" s="55"/>
      <c r="S111" s="55">
        <f>S10+S16+S23+S39+S58+S79+S91+S107</f>
        <v>28910.259999999995</v>
      </c>
      <c r="T111" s="52"/>
      <c r="U111" s="54"/>
      <c r="V111" s="55"/>
      <c r="W111" s="55">
        <f>W10+W16+W23+W39+W58+W79+W91+W107</f>
        <v>187422.49142399998</v>
      </c>
      <c r="X111" s="52"/>
      <c r="Y111" s="54"/>
      <c r="Z111" s="55"/>
      <c r="AA111" s="55">
        <f>AA10+AA16+AA23+AA39+AA58+AA79+AA91+AA107</f>
        <v>13111.320000000002</v>
      </c>
    </row>
    <row r="112" spans="1:31" s="56" customFormat="1">
      <c r="A112" s="71"/>
      <c r="B112" s="72"/>
      <c r="C112" s="53" t="s">
        <v>8</v>
      </c>
      <c r="D112" s="52"/>
      <c r="E112" s="52"/>
      <c r="F112" s="55"/>
      <c r="G112" s="55">
        <f>G111*0.2</f>
        <v>156363.89809959999</v>
      </c>
      <c r="H112" s="52"/>
      <c r="I112" s="54"/>
      <c r="J112" s="55"/>
      <c r="K112" s="55">
        <f>K111*0.2</f>
        <v>37428.489206000006</v>
      </c>
      <c r="L112" s="52"/>
      <c r="M112" s="54"/>
      <c r="N112" s="55"/>
      <c r="O112" s="55">
        <f>O111*0.2</f>
        <v>73046.594608800006</v>
      </c>
      <c r="P112" s="52"/>
      <c r="Q112" s="54"/>
      <c r="R112" s="55"/>
      <c r="S112" s="55">
        <f>S111*0.2</f>
        <v>5782.0519999999997</v>
      </c>
      <c r="T112" s="52"/>
      <c r="U112" s="54"/>
      <c r="V112" s="55"/>
      <c r="W112" s="55">
        <f>W111*0.2</f>
        <v>37484.4982848</v>
      </c>
      <c r="X112" s="52"/>
      <c r="Y112" s="54"/>
      <c r="Z112" s="55"/>
      <c r="AA112" s="55">
        <f>AA111*0.2</f>
        <v>2622.2640000000006</v>
      </c>
    </row>
    <row r="113" spans="1:27" s="56" customFormat="1">
      <c r="A113" s="71"/>
      <c r="B113" s="72"/>
      <c r="C113" s="53" t="s">
        <v>9</v>
      </c>
      <c r="D113" s="52"/>
      <c r="E113" s="52"/>
      <c r="F113" s="55"/>
      <c r="G113" s="55">
        <f>G112+G111</f>
        <v>938183.38859759993</v>
      </c>
      <c r="H113" s="52"/>
      <c r="I113" s="54"/>
      <c r="J113" s="55"/>
      <c r="K113" s="55">
        <f>K112+K111</f>
        <v>224570.93523600002</v>
      </c>
      <c r="L113" s="52"/>
      <c r="M113" s="54"/>
      <c r="N113" s="55"/>
      <c r="O113" s="55">
        <f>O112+O111</f>
        <v>438279.5676528</v>
      </c>
      <c r="P113" s="52"/>
      <c r="Q113" s="54"/>
      <c r="R113" s="55"/>
      <c r="S113" s="55">
        <f>S112+S111</f>
        <v>34692.311999999991</v>
      </c>
      <c r="T113" s="52"/>
      <c r="U113" s="54"/>
      <c r="V113" s="55"/>
      <c r="W113" s="55">
        <f>W112+W111</f>
        <v>224906.98970879999</v>
      </c>
      <c r="X113" s="52"/>
      <c r="Y113" s="54"/>
      <c r="Z113" s="55"/>
      <c r="AA113" s="55">
        <f>AA112+AA111</f>
        <v>15733.584000000003</v>
      </c>
    </row>
    <row r="114" spans="1:27" ht="6.6" customHeight="1">
      <c r="A114" s="73"/>
      <c r="B114" s="74"/>
      <c r="C114" s="45"/>
      <c r="D114" s="46"/>
      <c r="E114" s="51"/>
      <c r="F114" s="48"/>
      <c r="G114" s="48"/>
      <c r="H114" s="46"/>
      <c r="I114" s="47"/>
      <c r="J114" s="48"/>
      <c r="K114" s="48"/>
      <c r="L114" s="49"/>
      <c r="M114" s="50"/>
      <c r="N114" s="48"/>
      <c r="O114" s="48"/>
      <c r="P114" s="49"/>
      <c r="Q114" s="50"/>
      <c r="R114" s="48"/>
      <c r="S114" s="48"/>
      <c r="T114" s="49"/>
      <c r="U114" s="50"/>
      <c r="V114" s="48"/>
      <c r="W114" s="48"/>
      <c r="X114" s="49"/>
      <c r="Y114" s="50"/>
      <c r="Z114" s="48"/>
      <c r="AA114" s="48"/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scale="82" fitToHeight="0" orientation="landscape" r:id="rId1"/>
  <rowBreaks count="1" manualBreakCount="1">
    <brk id="79" max="2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E40"/>
  <sheetViews>
    <sheetView showGridLines="0" view="pageBreakPreview" zoomScale="70" zoomScaleNormal="85" zoomScaleSheetLayoutView="70" workbookViewId="0">
      <pane ySplit="5" topLeftCell="A6" activePane="bottomLeft" state="frozen"/>
      <selection activeCell="C15" sqref="C15:I15"/>
      <selection pane="bottomLeft" activeCell="G36" sqref="G36"/>
    </sheetView>
  </sheetViews>
  <sheetFormatPr baseColWidth="10" defaultColWidth="11.44140625" defaultRowHeight="14.4"/>
  <cols>
    <col min="1" max="1" width="3.33203125" style="2" customWidth="1"/>
    <col min="2" max="2" width="2.6640625" style="3" bestFit="1" customWidth="1"/>
    <col min="3" max="3" width="55.6640625" style="24" customWidth="1"/>
    <col min="4" max="4" width="4.5546875" style="1" bestFit="1" customWidth="1"/>
    <col min="5" max="5" width="7.88671875" style="1" customWidth="1"/>
    <col min="6" max="6" width="12" style="1" bestFit="1" customWidth="1"/>
    <col min="7" max="7" width="14.5546875" style="1" bestFit="1" customWidth="1"/>
    <col min="8" max="8" width="2.6640625" style="1" customWidth="1"/>
    <col min="9" max="9" width="7.5546875" style="1" bestFit="1" customWidth="1"/>
    <col min="10" max="10" width="12" style="1" bestFit="1" customWidth="1"/>
    <col min="11" max="11" width="14.5546875" style="1" customWidth="1"/>
    <col min="12" max="12" width="2.6640625" style="1" customWidth="1"/>
    <col min="13" max="13" width="7.5546875" style="1" bestFit="1" customWidth="1"/>
    <col min="14" max="14" width="12" style="1" bestFit="1" customWidth="1"/>
    <col min="15" max="15" width="14.44140625" style="1" bestFit="1" customWidth="1"/>
    <col min="16" max="16" width="2.6640625" style="1" customWidth="1"/>
    <col min="17" max="17" width="7.5546875" style="1" bestFit="1" customWidth="1"/>
    <col min="18" max="18" width="12" style="1" bestFit="1" customWidth="1"/>
    <col min="19" max="19" width="14.44140625" style="1" bestFit="1" customWidth="1"/>
    <col min="20" max="20" width="2.6640625" style="1" customWidth="1"/>
    <col min="21" max="21" width="7.5546875" style="1" bestFit="1" customWidth="1"/>
    <col min="22" max="22" width="12" style="1" bestFit="1" customWidth="1"/>
    <col min="23" max="23" width="14.44140625" style="1" bestFit="1" customWidth="1"/>
    <col min="24" max="24" width="2.6640625" style="1" customWidth="1"/>
    <col min="25" max="25" width="7.5546875" style="1" bestFit="1" customWidth="1"/>
    <col min="26" max="26" width="12" style="1" bestFit="1" customWidth="1"/>
    <col min="27" max="27" width="14.44140625" style="1" bestFit="1" customWidth="1"/>
    <col min="28" max="28" width="14.5546875" style="1" bestFit="1" customWidth="1"/>
    <col min="29" max="29" width="12.109375" style="1" bestFit="1" customWidth="1"/>
    <col min="30" max="30" width="11.44140625" style="1"/>
    <col min="31" max="31" width="15" style="1" customWidth="1"/>
    <col min="32" max="16384" width="11.44140625" style="1"/>
  </cols>
  <sheetData>
    <row r="1" spans="1:28" ht="23.25" customHeight="1">
      <c r="A1" s="566" t="s">
        <v>37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8"/>
    </row>
    <row r="2" spans="1:28" ht="8.4" customHeight="1">
      <c r="A2" s="15"/>
      <c r="C2" s="3"/>
      <c r="D2" s="3"/>
      <c r="E2" s="3"/>
      <c r="F2" s="3"/>
      <c r="G2" s="2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23"/>
    </row>
    <row r="3" spans="1:28" ht="19.5" customHeight="1">
      <c r="A3" s="16"/>
      <c r="C3" s="203" t="str">
        <f>'Page de garde'!C15</f>
        <v>IND 00 du 10/06/2025</v>
      </c>
      <c r="E3" s="569" t="s">
        <v>12</v>
      </c>
      <c r="F3" s="570"/>
      <c r="G3" s="571"/>
      <c r="I3" s="572" t="s">
        <v>30</v>
      </c>
      <c r="J3" s="573"/>
      <c r="K3" s="574"/>
      <c r="M3" s="572" t="s">
        <v>31</v>
      </c>
      <c r="N3" s="573"/>
      <c r="O3" s="574"/>
      <c r="Q3" s="572" t="s">
        <v>33</v>
      </c>
      <c r="R3" s="573"/>
      <c r="S3" s="574"/>
      <c r="U3" s="572" t="s">
        <v>34</v>
      </c>
      <c r="V3" s="573"/>
      <c r="W3" s="574"/>
      <c r="Y3" s="572" t="s">
        <v>35</v>
      </c>
      <c r="Z3" s="573"/>
      <c r="AA3" s="574"/>
    </row>
    <row r="4" spans="1:28" ht="19.5" customHeight="1">
      <c r="A4" s="16"/>
      <c r="E4" s="76"/>
      <c r="F4" s="77"/>
      <c r="G4" s="78" t="s">
        <v>11</v>
      </c>
      <c r="I4" s="57"/>
      <c r="J4" s="58"/>
      <c r="K4" s="59" t="s">
        <v>11</v>
      </c>
      <c r="M4" s="60"/>
      <c r="N4" s="58"/>
      <c r="O4" s="59" t="s">
        <v>11</v>
      </c>
      <c r="Q4" s="60"/>
      <c r="R4" s="58"/>
      <c r="S4" s="59" t="s">
        <v>11</v>
      </c>
      <c r="U4" s="60"/>
      <c r="V4" s="58"/>
      <c r="W4" s="59" t="s">
        <v>11</v>
      </c>
      <c r="Y4" s="60"/>
      <c r="Z4" s="58"/>
      <c r="AA4" s="59" t="s">
        <v>11</v>
      </c>
    </row>
    <row r="5" spans="1:28" s="17" customFormat="1" ht="24">
      <c r="A5" s="565" t="s">
        <v>1</v>
      </c>
      <c r="B5" s="565"/>
      <c r="C5" s="25" t="s">
        <v>2</v>
      </c>
      <c r="D5" s="18" t="s">
        <v>0</v>
      </c>
      <c r="E5" s="79" t="s">
        <v>3</v>
      </c>
      <c r="F5" s="79" t="s">
        <v>4</v>
      </c>
      <c r="G5" s="79" t="s">
        <v>5</v>
      </c>
      <c r="H5" s="18"/>
      <c r="I5" s="19" t="s">
        <v>3</v>
      </c>
      <c r="J5" s="19" t="s">
        <v>4</v>
      </c>
      <c r="K5" s="19" t="s">
        <v>5</v>
      </c>
      <c r="L5" s="20"/>
      <c r="M5" s="19" t="s">
        <v>3</v>
      </c>
      <c r="N5" s="19" t="s">
        <v>4</v>
      </c>
      <c r="O5" s="19" t="s">
        <v>5</v>
      </c>
      <c r="P5" s="20"/>
      <c r="Q5" s="19" t="s">
        <v>3</v>
      </c>
      <c r="R5" s="19" t="s">
        <v>4</v>
      </c>
      <c r="S5" s="19" t="s">
        <v>5</v>
      </c>
      <c r="T5" s="20"/>
      <c r="U5" s="19" t="s">
        <v>3</v>
      </c>
      <c r="V5" s="19" t="s">
        <v>4</v>
      </c>
      <c r="W5" s="19" t="s">
        <v>5</v>
      </c>
      <c r="X5" s="20"/>
      <c r="Y5" s="19" t="s">
        <v>3</v>
      </c>
      <c r="Z5" s="19" t="s">
        <v>4</v>
      </c>
      <c r="AA5" s="19" t="s">
        <v>5</v>
      </c>
    </row>
    <row r="6" spans="1:28">
      <c r="A6" s="61"/>
      <c r="B6" s="62" t="s">
        <v>19</v>
      </c>
      <c r="C6" s="63" t="s">
        <v>142</v>
      </c>
      <c r="D6" s="64"/>
      <c r="E6" s="366"/>
      <c r="F6" s="66"/>
      <c r="G6" s="66"/>
      <c r="H6" s="64"/>
      <c r="I6" s="366"/>
      <c r="J6" s="66"/>
      <c r="K6" s="66"/>
      <c r="L6" s="64"/>
      <c r="M6" s="366"/>
      <c r="N6" s="66"/>
      <c r="O6" s="66"/>
      <c r="P6" s="64"/>
      <c r="Q6" s="366"/>
      <c r="R6" s="66"/>
      <c r="S6" s="66"/>
      <c r="T6" s="64"/>
      <c r="U6" s="366"/>
      <c r="V6" s="66"/>
      <c r="W6" s="66"/>
      <c r="X6" s="64"/>
      <c r="Y6" s="366"/>
      <c r="Z6" s="66"/>
      <c r="AA6" s="66"/>
    </row>
    <row r="7" spans="1:28">
      <c r="A7" s="14"/>
      <c r="B7" s="31"/>
      <c r="C7" s="28" t="s">
        <v>143</v>
      </c>
      <c r="D7" s="67" t="s">
        <v>11</v>
      </c>
      <c r="E7" s="29">
        <f>I7+M7+Q7+U7+Y7</f>
        <v>95</v>
      </c>
      <c r="F7" s="32">
        <v>34.01</v>
      </c>
      <c r="G7" s="32">
        <f>F7*E7</f>
        <v>3230.95</v>
      </c>
      <c r="H7" s="67"/>
      <c r="I7" s="67">
        <v>0</v>
      </c>
      <c r="J7" s="32">
        <f>$F7</f>
        <v>34.01</v>
      </c>
      <c r="K7" s="32">
        <f>I7*J7</f>
        <v>0</v>
      </c>
      <c r="L7" s="67"/>
      <c r="M7" s="67">
        <v>95</v>
      </c>
      <c r="N7" s="32">
        <f>$F7</f>
        <v>34.01</v>
      </c>
      <c r="O7" s="32">
        <f>M7*N7</f>
        <v>3230.95</v>
      </c>
      <c r="P7" s="67"/>
      <c r="Q7" s="67">
        <v>0</v>
      </c>
      <c r="R7" s="32">
        <f t="shared" ref="R7:R8" si="0">$F7</f>
        <v>34.01</v>
      </c>
      <c r="S7" s="32">
        <f t="shared" ref="S7:S8" si="1">Q7*R7</f>
        <v>0</v>
      </c>
      <c r="T7" s="67"/>
      <c r="U7" s="67">
        <v>0</v>
      </c>
      <c r="V7" s="32">
        <f t="shared" ref="V7:V8" si="2">$F7</f>
        <v>34.01</v>
      </c>
      <c r="W7" s="32">
        <f t="shared" ref="W7:W8" si="3">U7*V7</f>
        <v>0</v>
      </c>
      <c r="X7" s="67"/>
      <c r="Y7" s="67">
        <v>0</v>
      </c>
      <c r="Z7" s="32">
        <f t="shared" ref="Z7:Z8" si="4">$F7</f>
        <v>34.01</v>
      </c>
      <c r="AA7" s="32">
        <f t="shared" ref="AA7:AA8" si="5">Y7*Z7</f>
        <v>0</v>
      </c>
    </row>
    <row r="8" spans="1:28">
      <c r="A8" s="14"/>
      <c r="B8" s="31"/>
      <c r="C8" s="28" t="s">
        <v>661</v>
      </c>
      <c r="D8" s="67" t="s">
        <v>6</v>
      </c>
      <c r="E8" s="29">
        <f>I8+M8+Q8+U8+Y8</f>
        <v>1</v>
      </c>
      <c r="F8" s="32">
        <f>688.38-0.42</f>
        <v>687.96</v>
      </c>
      <c r="G8" s="32">
        <f>F8*E8</f>
        <v>687.96</v>
      </c>
      <c r="H8" s="67"/>
      <c r="I8" s="67">
        <v>0</v>
      </c>
      <c r="J8" s="32">
        <f>$F8</f>
        <v>687.96</v>
      </c>
      <c r="K8" s="32">
        <f>I8*J8</f>
        <v>0</v>
      </c>
      <c r="L8" s="67"/>
      <c r="M8" s="67">
        <v>1</v>
      </c>
      <c r="N8" s="32">
        <f>$F8</f>
        <v>687.96</v>
      </c>
      <c r="O8" s="32">
        <f>M8*N8</f>
        <v>687.96</v>
      </c>
      <c r="P8" s="67"/>
      <c r="Q8" s="67">
        <v>0</v>
      </c>
      <c r="R8" s="32">
        <f t="shared" si="0"/>
        <v>687.96</v>
      </c>
      <c r="S8" s="32">
        <f t="shared" si="1"/>
        <v>0</v>
      </c>
      <c r="T8" s="67"/>
      <c r="U8" s="67">
        <v>0</v>
      </c>
      <c r="V8" s="32">
        <f t="shared" si="2"/>
        <v>687.96</v>
      </c>
      <c r="W8" s="32">
        <f t="shared" si="3"/>
        <v>0</v>
      </c>
      <c r="X8" s="67"/>
      <c r="Y8" s="67">
        <v>0</v>
      </c>
      <c r="Z8" s="32">
        <f t="shared" si="4"/>
        <v>687.96</v>
      </c>
      <c r="AA8" s="32">
        <f t="shared" si="5"/>
        <v>0</v>
      </c>
    </row>
    <row r="9" spans="1:28">
      <c r="A9" s="14"/>
      <c r="B9" s="31"/>
      <c r="C9" s="28"/>
      <c r="D9" s="67"/>
      <c r="E9" s="67"/>
      <c r="F9" s="32"/>
      <c r="G9" s="32"/>
      <c r="H9" s="67"/>
      <c r="I9" s="67"/>
      <c r="J9" s="32"/>
      <c r="K9" s="32"/>
      <c r="L9" s="67"/>
      <c r="M9" s="67"/>
      <c r="N9" s="32"/>
      <c r="O9" s="32"/>
      <c r="P9" s="67"/>
      <c r="Q9" s="67"/>
      <c r="R9" s="32"/>
      <c r="S9" s="32"/>
      <c r="T9" s="67"/>
      <c r="U9" s="67"/>
      <c r="V9" s="32"/>
      <c r="W9" s="32"/>
      <c r="X9" s="67"/>
      <c r="Y9" s="67"/>
      <c r="Z9" s="32"/>
      <c r="AA9" s="32"/>
    </row>
    <row r="10" spans="1:28">
      <c r="A10" s="35"/>
      <c r="B10" s="27"/>
      <c r="C10" s="38" t="s">
        <v>172</v>
      </c>
      <c r="D10" s="68"/>
      <c r="E10" s="369"/>
      <c r="F10" s="33" t="s">
        <v>10</v>
      </c>
      <c r="G10" s="34">
        <f>G8+G7</f>
        <v>3918.91</v>
      </c>
      <c r="H10" s="68"/>
      <c r="I10" s="369"/>
      <c r="J10" s="33" t="s">
        <v>10</v>
      </c>
      <c r="K10" s="34">
        <f>SUM(K6:K9)</f>
        <v>0</v>
      </c>
      <c r="L10" s="68"/>
      <c r="M10" s="369"/>
      <c r="N10" s="33" t="s">
        <v>10</v>
      </c>
      <c r="O10" s="34">
        <f>SUM(O6:O9)</f>
        <v>3918.91</v>
      </c>
      <c r="P10" s="68"/>
      <c r="Q10" s="369"/>
      <c r="R10" s="33" t="s">
        <v>10</v>
      </c>
      <c r="S10" s="34">
        <f>SUM(S6:S9)</f>
        <v>0</v>
      </c>
      <c r="T10" s="68"/>
      <c r="U10" s="369"/>
      <c r="V10" s="33" t="s">
        <v>10</v>
      </c>
      <c r="W10" s="34">
        <f>SUM(W6:W9)</f>
        <v>0</v>
      </c>
      <c r="X10" s="68"/>
      <c r="Y10" s="369"/>
      <c r="Z10" s="33" t="s">
        <v>10</v>
      </c>
      <c r="AA10" s="34">
        <f>SUM(AA6:AA9)</f>
        <v>0</v>
      </c>
    </row>
    <row r="11" spans="1:28">
      <c r="A11" s="35"/>
      <c r="B11" s="27"/>
      <c r="C11" s="36"/>
      <c r="D11" s="68"/>
      <c r="E11" s="369"/>
      <c r="F11" s="33"/>
      <c r="G11" s="34"/>
      <c r="H11" s="68"/>
      <c r="I11" s="369"/>
      <c r="J11" s="33"/>
      <c r="K11" s="34"/>
      <c r="L11" s="68"/>
      <c r="M11" s="369"/>
      <c r="N11" s="33"/>
      <c r="O11" s="34"/>
      <c r="P11" s="68"/>
      <c r="Q11" s="369"/>
      <c r="R11" s="33"/>
      <c r="S11" s="34"/>
      <c r="T11" s="68"/>
      <c r="U11" s="369"/>
      <c r="V11" s="33"/>
      <c r="W11" s="34"/>
      <c r="X11" s="68"/>
      <c r="Y11" s="369"/>
      <c r="Z11" s="33"/>
      <c r="AA11" s="34"/>
    </row>
    <row r="12" spans="1:28">
      <c r="A12" s="14"/>
      <c r="B12" s="31"/>
      <c r="C12" s="28"/>
      <c r="D12" s="67"/>
      <c r="E12" s="67"/>
      <c r="F12" s="33"/>
      <c r="G12" s="34"/>
      <c r="H12" s="67"/>
      <c r="I12" s="67"/>
      <c r="J12" s="33"/>
      <c r="K12" s="34"/>
      <c r="L12" s="67"/>
      <c r="M12" s="67"/>
      <c r="N12" s="33"/>
      <c r="O12" s="34"/>
      <c r="P12" s="67"/>
      <c r="Q12" s="67"/>
      <c r="R12" s="33"/>
      <c r="S12" s="34"/>
      <c r="T12" s="67"/>
      <c r="U12" s="67"/>
      <c r="V12" s="33"/>
      <c r="W12" s="34"/>
      <c r="X12" s="67"/>
      <c r="Y12" s="67"/>
      <c r="Z12" s="33"/>
      <c r="AA12" s="34"/>
    </row>
    <row r="13" spans="1:28">
      <c r="A13" s="61"/>
      <c r="B13" s="62" t="s">
        <v>20</v>
      </c>
      <c r="C13" s="63" t="s">
        <v>144</v>
      </c>
      <c r="D13" s="64"/>
      <c r="E13" s="366"/>
      <c r="F13" s="66"/>
      <c r="G13" s="66"/>
      <c r="H13" s="64"/>
      <c r="I13" s="366"/>
      <c r="J13" s="66"/>
      <c r="K13" s="66"/>
      <c r="L13" s="64"/>
      <c r="M13" s="366"/>
      <c r="N13" s="66"/>
      <c r="O13" s="66"/>
      <c r="P13" s="64"/>
      <c r="Q13" s="366"/>
      <c r="R13" s="66"/>
      <c r="S13" s="66"/>
      <c r="T13" s="64"/>
      <c r="U13" s="366"/>
      <c r="V13" s="66"/>
      <c r="W13" s="66"/>
      <c r="X13" s="64"/>
      <c r="Y13" s="366"/>
      <c r="Z13" s="66"/>
      <c r="AA13" s="66"/>
    </row>
    <row r="14" spans="1:28">
      <c r="A14" s="14"/>
      <c r="B14" s="31"/>
      <c r="C14" s="28" t="s">
        <v>145</v>
      </c>
      <c r="D14" s="67" t="s">
        <v>11</v>
      </c>
      <c r="E14" s="29">
        <f t="shared" ref="E14:E19" si="6">I14+M14+Q14+U14+Y14</f>
        <v>628</v>
      </c>
      <c r="F14" s="32">
        <v>138.44999999999999</v>
      </c>
      <c r="G14" s="32">
        <f>F14*E14</f>
        <v>86946.599999999991</v>
      </c>
      <c r="H14" s="67"/>
      <c r="I14" s="67">
        <v>190</v>
      </c>
      <c r="J14" s="32">
        <f t="shared" ref="J14:J19" si="7">$F14</f>
        <v>138.44999999999999</v>
      </c>
      <c r="K14" s="32">
        <f t="shared" ref="K14:K19" si="8">I14*J14</f>
        <v>26305.499999999996</v>
      </c>
      <c r="L14" s="67"/>
      <c r="M14" s="67">
        <v>262</v>
      </c>
      <c r="N14" s="32">
        <f t="shared" ref="N14:N19" si="9">$F14</f>
        <v>138.44999999999999</v>
      </c>
      <c r="O14" s="32">
        <f t="shared" ref="O14:O19" si="10">M14*N14</f>
        <v>36273.899999999994</v>
      </c>
      <c r="P14" s="67"/>
      <c r="Q14" s="67">
        <v>0</v>
      </c>
      <c r="R14" s="32">
        <f t="shared" ref="R14:R19" si="11">$F14</f>
        <v>138.44999999999999</v>
      </c>
      <c r="S14" s="32">
        <f t="shared" ref="S14:S19" si="12">Q14*R14</f>
        <v>0</v>
      </c>
      <c r="T14" s="67"/>
      <c r="U14" s="67">
        <v>176</v>
      </c>
      <c r="V14" s="32">
        <f t="shared" ref="V14:V19" si="13">$F14</f>
        <v>138.44999999999999</v>
      </c>
      <c r="W14" s="32">
        <f t="shared" ref="W14:W19" si="14">U14*V14</f>
        <v>24367.199999999997</v>
      </c>
      <c r="X14" s="67"/>
      <c r="Y14" s="67">
        <v>0</v>
      </c>
      <c r="Z14" s="32">
        <f t="shared" ref="Z14:Z19" si="15">$F14</f>
        <v>138.44999999999999</v>
      </c>
      <c r="AA14" s="32">
        <f t="shared" ref="AA14:AA19" si="16">Y14*Z14</f>
        <v>0</v>
      </c>
    </row>
    <row r="15" spans="1:28">
      <c r="A15" s="14"/>
      <c r="B15" s="31"/>
      <c r="C15" s="28" t="s">
        <v>146</v>
      </c>
      <c r="D15" s="67" t="s">
        <v>11</v>
      </c>
      <c r="E15" s="29">
        <f t="shared" si="6"/>
        <v>246</v>
      </c>
      <c r="F15" s="32">
        <v>29.4</v>
      </c>
      <c r="G15" s="32">
        <f t="shared" ref="G15:G19" si="17">F15*E15</f>
        <v>7232.4</v>
      </c>
      <c r="H15" s="67"/>
      <c r="I15" s="67">
        <v>61</v>
      </c>
      <c r="J15" s="32">
        <f t="shared" si="7"/>
        <v>29.4</v>
      </c>
      <c r="K15" s="32">
        <f t="shared" si="8"/>
        <v>1793.3999999999999</v>
      </c>
      <c r="L15" s="67"/>
      <c r="M15" s="67">
        <v>110</v>
      </c>
      <c r="N15" s="32">
        <f t="shared" si="9"/>
        <v>29.4</v>
      </c>
      <c r="O15" s="32">
        <f t="shared" si="10"/>
        <v>3234</v>
      </c>
      <c r="P15" s="67"/>
      <c r="Q15" s="67">
        <v>0</v>
      </c>
      <c r="R15" s="32">
        <f t="shared" si="11"/>
        <v>29.4</v>
      </c>
      <c r="S15" s="32">
        <f t="shared" si="12"/>
        <v>0</v>
      </c>
      <c r="T15" s="67"/>
      <c r="U15" s="67">
        <v>75</v>
      </c>
      <c r="V15" s="32">
        <f t="shared" si="13"/>
        <v>29.4</v>
      </c>
      <c r="W15" s="32">
        <f t="shared" si="14"/>
        <v>2205</v>
      </c>
      <c r="X15" s="67"/>
      <c r="Y15" s="67">
        <v>0</v>
      </c>
      <c r="Z15" s="32">
        <f t="shared" si="15"/>
        <v>29.4</v>
      </c>
      <c r="AA15" s="32">
        <f t="shared" si="16"/>
        <v>0</v>
      </c>
      <c r="AB15" s="22"/>
    </row>
    <row r="16" spans="1:28">
      <c r="A16" s="14"/>
      <c r="B16" s="31"/>
      <c r="C16" s="28" t="s">
        <v>147</v>
      </c>
      <c r="D16" s="67" t="s">
        <v>11</v>
      </c>
      <c r="E16" s="29">
        <f t="shared" si="6"/>
        <v>85</v>
      </c>
      <c r="F16" s="32">
        <v>82.13</v>
      </c>
      <c r="G16" s="32">
        <f t="shared" si="17"/>
        <v>6981.0499999999993</v>
      </c>
      <c r="H16" s="67"/>
      <c r="I16" s="67">
        <v>0</v>
      </c>
      <c r="J16" s="32">
        <f t="shared" si="7"/>
        <v>82.13</v>
      </c>
      <c r="K16" s="32">
        <f t="shared" si="8"/>
        <v>0</v>
      </c>
      <c r="L16" s="67"/>
      <c r="M16" s="67">
        <v>85</v>
      </c>
      <c r="N16" s="32">
        <f t="shared" si="9"/>
        <v>82.13</v>
      </c>
      <c r="O16" s="32">
        <f t="shared" si="10"/>
        <v>6981.0499999999993</v>
      </c>
      <c r="P16" s="67"/>
      <c r="Q16" s="67">
        <v>0</v>
      </c>
      <c r="R16" s="32">
        <f t="shared" si="11"/>
        <v>82.13</v>
      </c>
      <c r="S16" s="32">
        <f t="shared" si="12"/>
        <v>0</v>
      </c>
      <c r="T16" s="67"/>
      <c r="U16" s="67">
        <v>0</v>
      </c>
      <c r="V16" s="32">
        <f t="shared" si="13"/>
        <v>82.13</v>
      </c>
      <c r="W16" s="32">
        <f t="shared" si="14"/>
        <v>0</v>
      </c>
      <c r="X16" s="67"/>
      <c r="Y16" s="67">
        <v>0</v>
      </c>
      <c r="Z16" s="32">
        <f t="shared" si="15"/>
        <v>82.13</v>
      </c>
      <c r="AA16" s="32">
        <f t="shared" si="16"/>
        <v>0</v>
      </c>
      <c r="AB16" s="22"/>
    </row>
    <row r="17" spans="1:31">
      <c r="A17" s="14"/>
      <c r="B17" s="31"/>
      <c r="C17" s="28" t="s">
        <v>148</v>
      </c>
      <c r="D17" s="67" t="s">
        <v>11</v>
      </c>
      <c r="E17" s="29">
        <f t="shared" si="6"/>
        <v>115</v>
      </c>
      <c r="F17" s="32">
        <v>45.59</v>
      </c>
      <c r="G17" s="32">
        <f t="shared" si="17"/>
        <v>5242.8500000000004</v>
      </c>
      <c r="H17" s="67"/>
      <c r="I17" s="67">
        <v>0</v>
      </c>
      <c r="J17" s="32">
        <f t="shared" si="7"/>
        <v>45.59</v>
      </c>
      <c r="K17" s="32">
        <f t="shared" si="8"/>
        <v>0</v>
      </c>
      <c r="L17" s="67"/>
      <c r="M17" s="67">
        <v>0</v>
      </c>
      <c r="N17" s="32">
        <f t="shared" si="9"/>
        <v>45.59</v>
      </c>
      <c r="O17" s="32">
        <f t="shared" si="10"/>
        <v>0</v>
      </c>
      <c r="P17" s="67"/>
      <c r="Q17" s="67">
        <v>115</v>
      </c>
      <c r="R17" s="32">
        <f t="shared" si="11"/>
        <v>45.59</v>
      </c>
      <c r="S17" s="32">
        <f t="shared" si="12"/>
        <v>5242.8500000000004</v>
      </c>
      <c r="T17" s="67"/>
      <c r="U17" s="67">
        <v>0</v>
      </c>
      <c r="V17" s="32">
        <f t="shared" si="13"/>
        <v>45.59</v>
      </c>
      <c r="W17" s="32">
        <f t="shared" si="14"/>
        <v>0</v>
      </c>
      <c r="X17" s="67"/>
      <c r="Y17" s="67">
        <v>0</v>
      </c>
      <c r="Z17" s="32">
        <f t="shared" si="15"/>
        <v>45.59</v>
      </c>
      <c r="AA17" s="32">
        <f t="shared" si="16"/>
        <v>0</v>
      </c>
      <c r="AB17" s="22"/>
    </row>
    <row r="18" spans="1:31">
      <c r="A18" s="14"/>
      <c r="B18" s="31"/>
      <c r="C18" s="28" t="s">
        <v>149</v>
      </c>
      <c r="D18" s="67" t="s">
        <v>11</v>
      </c>
      <c r="E18" s="29">
        <f t="shared" si="6"/>
        <v>80</v>
      </c>
      <c r="F18" s="32">
        <v>29.4</v>
      </c>
      <c r="G18" s="32">
        <f t="shared" si="17"/>
        <v>2352</v>
      </c>
      <c r="H18" s="67"/>
      <c r="I18" s="67">
        <v>0</v>
      </c>
      <c r="J18" s="32">
        <f t="shared" si="7"/>
        <v>29.4</v>
      </c>
      <c r="K18" s="32">
        <f t="shared" si="8"/>
        <v>0</v>
      </c>
      <c r="L18" s="67"/>
      <c r="M18" s="67">
        <v>40</v>
      </c>
      <c r="N18" s="32">
        <f t="shared" si="9"/>
        <v>29.4</v>
      </c>
      <c r="O18" s="32">
        <f t="shared" si="10"/>
        <v>1176</v>
      </c>
      <c r="P18" s="67"/>
      <c r="Q18" s="67">
        <v>40</v>
      </c>
      <c r="R18" s="32">
        <f t="shared" si="11"/>
        <v>29.4</v>
      </c>
      <c r="S18" s="32">
        <f t="shared" si="12"/>
        <v>1176</v>
      </c>
      <c r="T18" s="67"/>
      <c r="U18" s="67">
        <v>0</v>
      </c>
      <c r="V18" s="32">
        <f t="shared" si="13"/>
        <v>29.4</v>
      </c>
      <c r="W18" s="32">
        <f t="shared" si="14"/>
        <v>0</v>
      </c>
      <c r="X18" s="67"/>
      <c r="Y18" s="67">
        <v>0</v>
      </c>
      <c r="Z18" s="32">
        <f t="shared" si="15"/>
        <v>29.4</v>
      </c>
      <c r="AA18" s="32">
        <f t="shared" si="16"/>
        <v>0</v>
      </c>
      <c r="AB18" s="22"/>
    </row>
    <row r="19" spans="1:31">
      <c r="A19" s="14"/>
      <c r="B19" s="31"/>
      <c r="C19" s="28" t="s">
        <v>150</v>
      </c>
      <c r="D19" s="67" t="s">
        <v>11</v>
      </c>
      <c r="E19" s="29">
        <f t="shared" si="6"/>
        <v>16</v>
      </c>
      <c r="F19" s="32">
        <v>61.7</v>
      </c>
      <c r="G19" s="32">
        <f t="shared" si="17"/>
        <v>987.2</v>
      </c>
      <c r="H19" s="67"/>
      <c r="I19" s="67">
        <v>0</v>
      </c>
      <c r="J19" s="32">
        <f t="shared" si="7"/>
        <v>61.7</v>
      </c>
      <c r="K19" s="32">
        <f t="shared" si="8"/>
        <v>0</v>
      </c>
      <c r="L19" s="67"/>
      <c r="M19" s="67">
        <v>0</v>
      </c>
      <c r="N19" s="32">
        <f t="shared" si="9"/>
        <v>61.7</v>
      </c>
      <c r="O19" s="32">
        <f t="shared" si="10"/>
        <v>0</v>
      </c>
      <c r="P19" s="67"/>
      <c r="Q19" s="67">
        <v>0</v>
      </c>
      <c r="R19" s="32">
        <f t="shared" si="11"/>
        <v>61.7</v>
      </c>
      <c r="S19" s="32">
        <f t="shared" si="12"/>
        <v>0</v>
      </c>
      <c r="T19" s="67"/>
      <c r="U19" s="67">
        <v>16</v>
      </c>
      <c r="V19" s="32">
        <f t="shared" si="13"/>
        <v>61.7</v>
      </c>
      <c r="W19" s="32">
        <f t="shared" si="14"/>
        <v>987.2</v>
      </c>
      <c r="X19" s="67"/>
      <c r="Y19" s="67">
        <v>0</v>
      </c>
      <c r="Z19" s="32">
        <f t="shared" si="15"/>
        <v>61.7</v>
      </c>
      <c r="AA19" s="32">
        <f t="shared" si="16"/>
        <v>0</v>
      </c>
      <c r="AB19" s="22"/>
    </row>
    <row r="20" spans="1:31">
      <c r="A20" s="14"/>
      <c r="B20" s="31"/>
      <c r="C20" s="28"/>
      <c r="D20" s="67"/>
      <c r="E20" s="67"/>
      <c r="F20" s="32"/>
      <c r="G20" s="32"/>
      <c r="H20" s="67"/>
      <c r="I20" s="67"/>
      <c r="J20" s="32"/>
      <c r="K20" s="32"/>
      <c r="L20" s="67"/>
      <c r="M20" s="67"/>
      <c r="N20" s="32"/>
      <c r="O20" s="32"/>
      <c r="P20" s="67"/>
      <c r="Q20" s="67"/>
      <c r="R20" s="32"/>
      <c r="S20" s="32"/>
      <c r="T20" s="67"/>
      <c r="U20" s="67"/>
      <c r="V20" s="32"/>
      <c r="W20" s="32"/>
      <c r="X20" s="67"/>
      <c r="Y20" s="67"/>
      <c r="Z20" s="32"/>
      <c r="AA20" s="32"/>
    </row>
    <row r="21" spans="1:31">
      <c r="A21" s="35"/>
      <c r="B21" s="27"/>
      <c r="C21" s="38" t="s">
        <v>171</v>
      </c>
      <c r="D21" s="68"/>
      <c r="E21" s="369"/>
      <c r="F21" s="33" t="s">
        <v>10</v>
      </c>
      <c r="G21" s="34">
        <f>SUM(G14:G19)</f>
        <v>109742.09999999999</v>
      </c>
      <c r="H21" s="68"/>
      <c r="I21" s="369"/>
      <c r="J21" s="33" t="s">
        <v>10</v>
      </c>
      <c r="K21" s="34">
        <f>SUM(K13:K20)</f>
        <v>28098.899999999998</v>
      </c>
      <c r="L21" s="68"/>
      <c r="M21" s="369"/>
      <c r="N21" s="33" t="s">
        <v>10</v>
      </c>
      <c r="O21" s="34">
        <f>SUM(O13:O20)</f>
        <v>47664.95</v>
      </c>
      <c r="P21" s="68"/>
      <c r="Q21" s="369"/>
      <c r="R21" s="33" t="s">
        <v>10</v>
      </c>
      <c r="S21" s="34">
        <f>SUM(S13:S20)</f>
        <v>6418.85</v>
      </c>
      <c r="T21" s="68"/>
      <c r="U21" s="369"/>
      <c r="V21" s="33" t="s">
        <v>10</v>
      </c>
      <c r="W21" s="34">
        <f>SUM(W13:W20)</f>
        <v>27559.399999999998</v>
      </c>
      <c r="X21" s="68"/>
      <c r="Y21" s="369"/>
      <c r="Z21" s="33" t="s">
        <v>10</v>
      </c>
      <c r="AA21" s="34">
        <f>SUM(AA13:AA20)</f>
        <v>0</v>
      </c>
    </row>
    <row r="22" spans="1:31">
      <c r="A22" s="35"/>
      <c r="B22" s="27"/>
      <c r="C22" s="36"/>
      <c r="D22" s="68"/>
      <c r="E22" s="369"/>
      <c r="F22" s="33"/>
      <c r="G22" s="34"/>
      <c r="H22" s="68"/>
      <c r="I22" s="369"/>
      <c r="J22" s="33"/>
      <c r="K22" s="34"/>
      <c r="L22" s="68"/>
      <c r="M22" s="369"/>
      <c r="N22" s="33"/>
      <c r="O22" s="34"/>
      <c r="P22" s="68"/>
      <c r="Q22" s="369"/>
      <c r="R22" s="33"/>
      <c r="S22" s="34"/>
      <c r="T22" s="68"/>
      <c r="U22" s="369"/>
      <c r="V22" s="33"/>
      <c r="W22" s="34"/>
      <c r="X22" s="68"/>
      <c r="Y22" s="369"/>
      <c r="Z22" s="33"/>
      <c r="AA22" s="34"/>
    </row>
    <row r="23" spans="1:31">
      <c r="A23" s="14"/>
      <c r="B23" s="31"/>
      <c r="C23" s="28"/>
      <c r="D23" s="67"/>
      <c r="E23" s="67"/>
      <c r="F23" s="33"/>
      <c r="G23" s="34"/>
      <c r="H23" s="67"/>
      <c r="I23" s="67"/>
      <c r="J23" s="33"/>
      <c r="K23" s="34"/>
      <c r="L23" s="67"/>
      <c r="M23" s="67"/>
      <c r="N23" s="33"/>
      <c r="O23" s="34"/>
      <c r="P23" s="67"/>
      <c r="Q23" s="67"/>
      <c r="R23" s="33"/>
      <c r="S23" s="34"/>
      <c r="T23" s="67"/>
      <c r="U23" s="67"/>
      <c r="V23" s="33"/>
      <c r="W23" s="34"/>
      <c r="X23" s="67"/>
      <c r="Y23" s="67"/>
      <c r="Z23" s="33"/>
      <c r="AA23" s="34"/>
    </row>
    <row r="24" spans="1:31">
      <c r="A24" s="61"/>
      <c r="B24" s="62" t="s">
        <v>21</v>
      </c>
      <c r="C24" s="63" t="s">
        <v>134</v>
      </c>
      <c r="D24" s="64"/>
      <c r="E24" s="366"/>
      <c r="F24" s="66"/>
      <c r="G24" s="66"/>
      <c r="H24" s="64"/>
      <c r="I24" s="366"/>
      <c r="J24" s="66"/>
      <c r="K24" s="66"/>
      <c r="L24" s="64"/>
      <c r="M24" s="366"/>
      <c r="N24" s="66"/>
      <c r="O24" s="66"/>
      <c r="P24" s="64"/>
      <c r="Q24" s="366"/>
      <c r="R24" s="66"/>
      <c r="S24" s="66"/>
      <c r="T24" s="64"/>
      <c r="U24" s="366"/>
      <c r="V24" s="66"/>
      <c r="W24" s="66"/>
      <c r="X24" s="64"/>
      <c r="Y24" s="366"/>
      <c r="Z24" s="66"/>
      <c r="AA24" s="66"/>
    </row>
    <row r="25" spans="1:31">
      <c r="A25" s="14"/>
      <c r="B25" s="31"/>
      <c r="C25" s="28" t="s">
        <v>151</v>
      </c>
      <c r="D25" s="67" t="s">
        <v>69</v>
      </c>
      <c r="E25" s="29">
        <f t="shared" ref="E25:E30" si="18">I25+M25+Q25+U25+Y25</f>
        <v>12</v>
      </c>
      <c r="F25" s="40">
        <v>88.36</v>
      </c>
      <c r="G25" s="32">
        <f>F25*E25</f>
        <v>1060.32</v>
      </c>
      <c r="H25" s="67"/>
      <c r="I25" s="67">
        <v>2</v>
      </c>
      <c r="J25" s="32">
        <f t="shared" ref="J25:J30" si="19">$F25</f>
        <v>88.36</v>
      </c>
      <c r="K25" s="32">
        <f t="shared" ref="K25:K30" si="20">I25*J25</f>
        <v>176.72</v>
      </c>
      <c r="L25" s="67"/>
      <c r="M25" s="67">
        <v>5</v>
      </c>
      <c r="N25" s="32">
        <f t="shared" ref="N25:N30" si="21">$F25</f>
        <v>88.36</v>
      </c>
      <c r="O25" s="32">
        <f t="shared" ref="O25:O30" si="22">M25*N25</f>
        <v>441.8</v>
      </c>
      <c r="P25" s="67"/>
      <c r="Q25" s="67">
        <v>2</v>
      </c>
      <c r="R25" s="32">
        <f t="shared" ref="R25:R30" si="23">$F25</f>
        <v>88.36</v>
      </c>
      <c r="S25" s="32">
        <f t="shared" ref="S25:S30" si="24">Q25*R25</f>
        <v>176.72</v>
      </c>
      <c r="T25" s="67"/>
      <c r="U25" s="67">
        <v>3</v>
      </c>
      <c r="V25" s="32">
        <f t="shared" ref="V25:V30" si="25">$F25</f>
        <v>88.36</v>
      </c>
      <c r="W25" s="32">
        <f t="shared" ref="W25:W30" si="26">U25*V25</f>
        <v>265.08</v>
      </c>
      <c r="X25" s="67"/>
      <c r="Y25" s="67">
        <v>0</v>
      </c>
      <c r="Z25" s="32">
        <f t="shared" ref="Z25:Z30" si="27">$F25</f>
        <v>88.36</v>
      </c>
      <c r="AA25" s="32">
        <f t="shared" ref="AA25:AA30" si="28">Y25*Z25</f>
        <v>0</v>
      </c>
      <c r="AC25" s="22"/>
      <c r="AD25" s="22"/>
      <c r="AE25" s="22"/>
    </row>
    <row r="26" spans="1:31">
      <c r="A26" s="14"/>
      <c r="B26" s="31"/>
      <c r="C26" s="28" t="s">
        <v>662</v>
      </c>
      <c r="D26" s="67" t="s">
        <v>69</v>
      </c>
      <c r="E26" s="29">
        <f t="shared" si="18"/>
        <v>2</v>
      </c>
      <c r="F26" s="40">
        <v>74.86</v>
      </c>
      <c r="G26" s="32">
        <f t="shared" ref="G26:G30" si="29">F26*E26</f>
        <v>149.72</v>
      </c>
      <c r="H26" s="67"/>
      <c r="I26" s="67">
        <v>0</v>
      </c>
      <c r="J26" s="32">
        <f t="shared" si="19"/>
        <v>74.86</v>
      </c>
      <c r="K26" s="32">
        <f t="shared" si="20"/>
        <v>0</v>
      </c>
      <c r="L26" s="67"/>
      <c r="M26" s="67">
        <v>1</v>
      </c>
      <c r="N26" s="32">
        <f t="shared" si="21"/>
        <v>74.86</v>
      </c>
      <c r="O26" s="32">
        <f t="shared" si="22"/>
        <v>74.86</v>
      </c>
      <c r="P26" s="67"/>
      <c r="Q26" s="67">
        <v>1</v>
      </c>
      <c r="R26" s="32">
        <f t="shared" si="23"/>
        <v>74.86</v>
      </c>
      <c r="S26" s="32">
        <f t="shared" si="24"/>
        <v>74.86</v>
      </c>
      <c r="T26" s="67"/>
      <c r="U26" s="67">
        <v>0</v>
      </c>
      <c r="V26" s="32">
        <f t="shared" si="25"/>
        <v>74.86</v>
      </c>
      <c r="W26" s="32">
        <f t="shared" si="26"/>
        <v>0</v>
      </c>
      <c r="X26" s="67"/>
      <c r="Y26" s="67">
        <v>0</v>
      </c>
      <c r="Z26" s="32">
        <f t="shared" si="27"/>
        <v>74.86</v>
      </c>
      <c r="AA26" s="32">
        <f t="shared" si="28"/>
        <v>0</v>
      </c>
      <c r="AC26" s="22"/>
      <c r="AD26" s="22"/>
      <c r="AE26" s="22"/>
    </row>
    <row r="27" spans="1:31">
      <c r="A27" s="14"/>
      <c r="B27" s="31"/>
      <c r="C27" s="28" t="s">
        <v>152</v>
      </c>
      <c r="D27" s="67" t="s">
        <v>70</v>
      </c>
      <c r="E27" s="29">
        <f t="shared" si="18"/>
        <v>60</v>
      </c>
      <c r="F27" s="40">
        <v>39.07</v>
      </c>
      <c r="G27" s="32">
        <f t="shared" si="29"/>
        <v>2344.1999999999998</v>
      </c>
      <c r="H27" s="67"/>
      <c r="I27" s="67">
        <v>10</v>
      </c>
      <c r="J27" s="32">
        <f>$F27</f>
        <v>39.07</v>
      </c>
      <c r="K27" s="32">
        <f t="shared" si="20"/>
        <v>390.7</v>
      </c>
      <c r="L27" s="67"/>
      <c r="M27" s="67">
        <v>25</v>
      </c>
      <c r="N27" s="32">
        <f t="shared" si="21"/>
        <v>39.07</v>
      </c>
      <c r="O27" s="32">
        <f t="shared" si="22"/>
        <v>976.75</v>
      </c>
      <c r="P27" s="67"/>
      <c r="Q27" s="67">
        <v>10</v>
      </c>
      <c r="R27" s="32">
        <f t="shared" si="23"/>
        <v>39.07</v>
      </c>
      <c r="S27" s="32">
        <f t="shared" si="24"/>
        <v>390.7</v>
      </c>
      <c r="T27" s="67"/>
      <c r="U27" s="67">
        <v>15</v>
      </c>
      <c r="V27" s="32">
        <f t="shared" si="25"/>
        <v>39.07</v>
      </c>
      <c r="W27" s="32">
        <f t="shared" si="26"/>
        <v>586.04999999999995</v>
      </c>
      <c r="X27" s="67"/>
      <c r="Y27" s="67">
        <v>0</v>
      </c>
      <c r="Z27" s="32">
        <f t="shared" si="27"/>
        <v>39.07</v>
      </c>
      <c r="AA27" s="32">
        <f t="shared" si="28"/>
        <v>0</v>
      </c>
      <c r="AC27" s="22"/>
      <c r="AD27" s="22"/>
      <c r="AE27" s="22"/>
    </row>
    <row r="28" spans="1:31">
      <c r="A28" s="14"/>
      <c r="B28" s="31"/>
      <c r="C28" s="28" t="s">
        <v>902</v>
      </c>
      <c r="D28" s="67" t="s">
        <v>69</v>
      </c>
      <c r="E28" s="29">
        <f t="shared" si="18"/>
        <v>5</v>
      </c>
      <c r="F28" s="32">
        <v>162.61000000000001</v>
      </c>
      <c r="G28" s="32">
        <f t="shared" si="29"/>
        <v>813.05000000000007</v>
      </c>
      <c r="H28" s="67"/>
      <c r="I28" s="67">
        <v>0</v>
      </c>
      <c r="J28" s="32">
        <f t="shared" si="19"/>
        <v>162.61000000000001</v>
      </c>
      <c r="K28" s="32">
        <f t="shared" si="20"/>
        <v>0</v>
      </c>
      <c r="L28" s="67"/>
      <c r="M28" s="67">
        <v>2</v>
      </c>
      <c r="N28" s="32">
        <f t="shared" si="21"/>
        <v>162.61000000000001</v>
      </c>
      <c r="O28" s="32">
        <f t="shared" si="22"/>
        <v>325.22000000000003</v>
      </c>
      <c r="P28" s="67"/>
      <c r="Q28" s="67">
        <v>1</v>
      </c>
      <c r="R28" s="32">
        <f t="shared" si="23"/>
        <v>162.61000000000001</v>
      </c>
      <c r="S28" s="32">
        <f t="shared" si="24"/>
        <v>162.61000000000001</v>
      </c>
      <c r="T28" s="67"/>
      <c r="U28" s="67">
        <v>2</v>
      </c>
      <c r="V28" s="32">
        <f t="shared" si="25"/>
        <v>162.61000000000001</v>
      </c>
      <c r="W28" s="32">
        <f t="shared" si="26"/>
        <v>325.22000000000003</v>
      </c>
      <c r="X28" s="67"/>
      <c r="Y28" s="67">
        <v>0</v>
      </c>
      <c r="Z28" s="32">
        <f t="shared" si="27"/>
        <v>162.61000000000001</v>
      </c>
      <c r="AA28" s="32">
        <f t="shared" si="28"/>
        <v>0</v>
      </c>
      <c r="AC28" s="22"/>
      <c r="AD28" s="22"/>
      <c r="AE28" s="22"/>
    </row>
    <row r="29" spans="1:31">
      <c r="A29" s="14"/>
      <c r="B29" s="31"/>
      <c r="C29" s="28" t="s">
        <v>153</v>
      </c>
      <c r="D29" s="67" t="s">
        <v>69</v>
      </c>
      <c r="E29" s="29">
        <f t="shared" si="18"/>
        <v>2</v>
      </c>
      <c r="F29" s="32">
        <v>61.36</v>
      </c>
      <c r="G29" s="32">
        <f t="shared" si="29"/>
        <v>122.72</v>
      </c>
      <c r="H29" s="67"/>
      <c r="I29" s="67">
        <v>0</v>
      </c>
      <c r="J29" s="32">
        <f t="shared" si="19"/>
        <v>61.36</v>
      </c>
      <c r="K29" s="32">
        <f t="shared" si="20"/>
        <v>0</v>
      </c>
      <c r="L29" s="67"/>
      <c r="M29" s="67">
        <v>0</v>
      </c>
      <c r="N29" s="32">
        <f t="shared" si="21"/>
        <v>61.36</v>
      </c>
      <c r="O29" s="32">
        <f t="shared" si="22"/>
        <v>0</v>
      </c>
      <c r="P29" s="67"/>
      <c r="Q29" s="67">
        <v>1</v>
      </c>
      <c r="R29" s="32">
        <f t="shared" si="23"/>
        <v>61.36</v>
      </c>
      <c r="S29" s="32">
        <f t="shared" si="24"/>
        <v>61.36</v>
      </c>
      <c r="T29" s="67"/>
      <c r="U29" s="67">
        <v>1</v>
      </c>
      <c r="V29" s="32">
        <f t="shared" si="25"/>
        <v>61.36</v>
      </c>
      <c r="W29" s="32">
        <f t="shared" si="26"/>
        <v>61.36</v>
      </c>
      <c r="X29" s="67"/>
      <c r="Y29" s="67">
        <v>0</v>
      </c>
      <c r="Z29" s="32">
        <f t="shared" si="27"/>
        <v>61.36</v>
      </c>
      <c r="AA29" s="32">
        <f t="shared" si="28"/>
        <v>0</v>
      </c>
      <c r="AC29" s="22"/>
      <c r="AD29" s="22"/>
      <c r="AE29" s="22"/>
    </row>
    <row r="30" spans="1:31">
      <c r="A30" s="14"/>
      <c r="B30" s="31"/>
      <c r="C30" s="192" t="s">
        <v>663</v>
      </c>
      <c r="D30" s="67" t="s">
        <v>69</v>
      </c>
      <c r="E30" s="29">
        <f t="shared" si="18"/>
        <v>2</v>
      </c>
      <c r="F30" s="32">
        <v>6924.49</v>
      </c>
      <c r="G30" s="32">
        <f t="shared" si="29"/>
        <v>13848.98</v>
      </c>
      <c r="H30" s="67"/>
      <c r="I30" s="67">
        <v>0</v>
      </c>
      <c r="J30" s="32">
        <f t="shared" si="19"/>
        <v>6924.49</v>
      </c>
      <c r="K30" s="32">
        <f t="shared" si="20"/>
        <v>0</v>
      </c>
      <c r="L30" s="67"/>
      <c r="M30" s="67">
        <v>0</v>
      </c>
      <c r="N30" s="32">
        <f t="shared" si="21"/>
        <v>6924.49</v>
      </c>
      <c r="O30" s="32">
        <f t="shared" si="22"/>
        <v>0</v>
      </c>
      <c r="P30" s="67"/>
      <c r="Q30" s="67">
        <v>0</v>
      </c>
      <c r="R30" s="32">
        <f t="shared" si="23"/>
        <v>6924.49</v>
      </c>
      <c r="S30" s="32">
        <f t="shared" si="24"/>
        <v>0</v>
      </c>
      <c r="T30" s="67"/>
      <c r="U30" s="67">
        <v>2</v>
      </c>
      <c r="V30" s="32">
        <f t="shared" si="25"/>
        <v>6924.49</v>
      </c>
      <c r="W30" s="32">
        <f t="shared" si="26"/>
        <v>13848.98</v>
      </c>
      <c r="X30" s="67"/>
      <c r="Y30" s="67">
        <v>0</v>
      </c>
      <c r="Z30" s="32">
        <f t="shared" si="27"/>
        <v>6924.49</v>
      </c>
      <c r="AA30" s="32">
        <f t="shared" si="28"/>
        <v>0</v>
      </c>
      <c r="AC30" s="22"/>
      <c r="AD30" s="22"/>
      <c r="AE30" s="22"/>
    </row>
    <row r="31" spans="1:31">
      <c r="A31" s="14"/>
      <c r="B31" s="31"/>
      <c r="C31" s="28"/>
      <c r="D31" s="67"/>
      <c r="E31" s="67"/>
      <c r="F31" s="32"/>
      <c r="G31" s="32"/>
      <c r="H31" s="67"/>
      <c r="I31" s="67"/>
      <c r="J31" s="32"/>
      <c r="K31" s="32"/>
      <c r="L31" s="67"/>
      <c r="M31" s="67"/>
      <c r="N31" s="32"/>
      <c r="O31" s="32"/>
      <c r="P31" s="67"/>
      <c r="Q31" s="67"/>
      <c r="R31" s="32"/>
      <c r="S31" s="32"/>
      <c r="T31" s="67"/>
      <c r="U31" s="67"/>
      <c r="V31" s="32"/>
      <c r="W31" s="32"/>
      <c r="X31" s="67"/>
      <c r="Y31" s="67"/>
      <c r="Z31" s="32"/>
      <c r="AA31" s="32"/>
      <c r="AC31" s="22"/>
      <c r="AD31" s="22"/>
      <c r="AE31" s="22"/>
    </row>
    <row r="32" spans="1:31">
      <c r="A32" s="35"/>
      <c r="B32" s="27"/>
      <c r="C32" s="38" t="s">
        <v>135</v>
      </c>
      <c r="D32" s="68"/>
      <c r="E32" s="369"/>
      <c r="F32" s="33" t="s">
        <v>10</v>
      </c>
      <c r="G32" s="34">
        <f>SUM(G25:G30)</f>
        <v>18338.989999999998</v>
      </c>
      <c r="H32" s="68"/>
      <c r="I32" s="369"/>
      <c r="J32" s="33" t="s">
        <v>10</v>
      </c>
      <c r="K32" s="34">
        <f>SUM(K24:K31)</f>
        <v>567.41999999999996</v>
      </c>
      <c r="L32" s="68"/>
      <c r="M32" s="369"/>
      <c r="N32" s="33" t="s">
        <v>10</v>
      </c>
      <c r="O32" s="34">
        <f>SUM(O24:O31)</f>
        <v>1818.6299999999999</v>
      </c>
      <c r="P32" s="68"/>
      <c r="Q32" s="369"/>
      <c r="R32" s="33" t="s">
        <v>10</v>
      </c>
      <c r="S32" s="34">
        <f>SUM(S24:S31)</f>
        <v>866.25</v>
      </c>
      <c r="T32" s="68"/>
      <c r="U32" s="369"/>
      <c r="V32" s="33" t="s">
        <v>10</v>
      </c>
      <c r="W32" s="34">
        <f>SUM(W24:W31)</f>
        <v>15086.689999999999</v>
      </c>
      <c r="X32" s="68"/>
      <c r="Y32" s="369"/>
      <c r="Z32" s="33" t="s">
        <v>10</v>
      </c>
      <c r="AA32" s="34">
        <f>SUM(AA24:AA31)</f>
        <v>0</v>
      </c>
    </row>
    <row r="33" spans="1:27">
      <c r="A33" s="35"/>
      <c r="B33" s="27"/>
      <c r="C33" s="36"/>
      <c r="D33" s="68"/>
      <c r="E33" s="369"/>
      <c r="F33" s="33"/>
      <c r="G33" s="34"/>
      <c r="H33" s="68"/>
      <c r="I33" s="369"/>
      <c r="J33" s="33"/>
      <c r="K33" s="34"/>
      <c r="L33" s="68"/>
      <c r="M33" s="369"/>
      <c r="N33" s="33"/>
      <c r="O33" s="34"/>
      <c r="P33" s="68"/>
      <c r="Q33" s="369"/>
      <c r="R33" s="33"/>
      <c r="S33" s="34"/>
      <c r="T33" s="68"/>
      <c r="U33" s="369"/>
      <c r="V33" s="33"/>
      <c r="W33" s="34"/>
      <c r="X33" s="68"/>
      <c r="Y33" s="369"/>
      <c r="Z33" s="33"/>
      <c r="AA33" s="34"/>
    </row>
    <row r="34" spans="1:27">
      <c r="A34" s="14"/>
      <c r="B34" s="31"/>
      <c r="C34" s="38"/>
      <c r="D34" s="69"/>
      <c r="E34" s="37"/>
      <c r="F34" s="30"/>
      <c r="G34" s="34"/>
      <c r="H34" s="69"/>
      <c r="I34" s="37"/>
      <c r="J34" s="30"/>
      <c r="K34" s="34"/>
      <c r="M34" s="37"/>
      <c r="N34" s="30"/>
      <c r="O34" s="34"/>
      <c r="Q34" s="37"/>
      <c r="R34" s="30"/>
      <c r="S34" s="34"/>
      <c r="U34" s="37"/>
      <c r="V34" s="30"/>
      <c r="W34" s="34"/>
      <c r="Y34" s="37"/>
      <c r="Z34" s="30"/>
      <c r="AA34" s="34"/>
    </row>
    <row r="35" spans="1:27">
      <c r="A35" s="14"/>
      <c r="B35" s="31"/>
      <c r="C35" s="38"/>
      <c r="D35" s="69"/>
      <c r="E35" s="37"/>
      <c r="F35" s="30"/>
      <c r="G35" s="34"/>
      <c r="H35" s="69"/>
      <c r="I35" s="37"/>
      <c r="J35" s="30"/>
      <c r="K35" s="34"/>
      <c r="M35" s="37"/>
      <c r="N35" s="30"/>
      <c r="O35" s="34"/>
      <c r="Q35" s="37"/>
      <c r="R35" s="30"/>
      <c r="S35" s="34"/>
      <c r="U35" s="37"/>
      <c r="V35" s="30"/>
      <c r="W35" s="34"/>
      <c r="Y35" s="37"/>
      <c r="Z35" s="30"/>
      <c r="AA35" s="34"/>
    </row>
    <row r="36" spans="1:27" ht="6" customHeight="1">
      <c r="A36" s="70"/>
      <c r="B36" s="41"/>
      <c r="C36" s="42"/>
      <c r="D36" s="41"/>
      <c r="E36" s="41"/>
      <c r="F36" s="44"/>
      <c r="G36" s="44"/>
      <c r="H36" s="41"/>
      <c r="I36" s="43"/>
      <c r="J36" s="44"/>
      <c r="K36" s="44"/>
      <c r="L36" s="41"/>
      <c r="M36" s="43"/>
      <c r="N36" s="44"/>
      <c r="O36" s="44"/>
      <c r="P36" s="41"/>
      <c r="Q36" s="43"/>
      <c r="R36" s="44"/>
      <c r="S36" s="44"/>
      <c r="T36" s="41"/>
      <c r="U36" s="43"/>
      <c r="V36" s="44"/>
      <c r="W36" s="44"/>
      <c r="X36" s="41"/>
      <c r="Y36" s="43"/>
      <c r="Z36" s="44"/>
      <c r="AA36" s="44"/>
    </row>
    <row r="37" spans="1:27" s="56" customFormat="1">
      <c r="A37" s="71"/>
      <c r="B37" s="72"/>
      <c r="C37" s="53" t="s">
        <v>7</v>
      </c>
      <c r="D37" s="52"/>
      <c r="E37" s="52"/>
      <c r="F37" s="55"/>
      <c r="G37" s="55">
        <f>G32+G21+G10</f>
        <v>132000</v>
      </c>
      <c r="H37" s="52"/>
      <c r="I37" s="54"/>
      <c r="J37" s="55"/>
      <c r="K37" s="55">
        <f>K32+K21+K10</f>
        <v>28666.319999999996</v>
      </c>
      <c r="L37" s="52"/>
      <c r="M37" s="54"/>
      <c r="N37" s="55"/>
      <c r="O37" s="55">
        <f>O32+O21+O10</f>
        <v>53402.489999999991</v>
      </c>
      <c r="P37" s="52"/>
      <c r="Q37" s="54"/>
      <c r="R37" s="55"/>
      <c r="S37" s="55">
        <f>S32+S21+S10</f>
        <v>7285.1</v>
      </c>
      <c r="T37" s="52"/>
      <c r="U37" s="54"/>
      <c r="V37" s="55"/>
      <c r="W37" s="55">
        <f>W32+W21+W10</f>
        <v>42646.09</v>
      </c>
      <c r="X37" s="52"/>
      <c r="Y37" s="54"/>
      <c r="Z37" s="55"/>
      <c r="AA37" s="55">
        <f>AA32+AA21+AA10</f>
        <v>0</v>
      </c>
    </row>
    <row r="38" spans="1:27" s="56" customFormat="1">
      <c r="A38" s="71"/>
      <c r="B38" s="72"/>
      <c r="C38" s="53" t="s">
        <v>8</v>
      </c>
      <c r="D38" s="52"/>
      <c r="E38" s="52"/>
      <c r="F38" s="55"/>
      <c r="G38" s="55">
        <f>G37*0.2</f>
        <v>26400</v>
      </c>
      <c r="H38" s="52"/>
      <c r="I38" s="54"/>
      <c r="J38" s="55"/>
      <c r="K38" s="55">
        <f>K37*0.2</f>
        <v>5733.2639999999992</v>
      </c>
      <c r="L38" s="52"/>
      <c r="M38" s="54"/>
      <c r="N38" s="55"/>
      <c r="O38" s="55">
        <f>O37*0.2</f>
        <v>10680.498</v>
      </c>
      <c r="P38" s="52"/>
      <c r="Q38" s="54"/>
      <c r="R38" s="55"/>
      <c r="S38" s="55">
        <f>S37*0.2</f>
        <v>1457.0200000000002</v>
      </c>
      <c r="T38" s="52"/>
      <c r="U38" s="54"/>
      <c r="V38" s="55"/>
      <c r="W38" s="55">
        <f>W37*0.2</f>
        <v>8529.2179999999989</v>
      </c>
      <c r="X38" s="52"/>
      <c r="Y38" s="54"/>
      <c r="Z38" s="55"/>
      <c r="AA38" s="55">
        <f>AA37*0.2</f>
        <v>0</v>
      </c>
    </row>
    <row r="39" spans="1:27" s="56" customFormat="1">
      <c r="A39" s="71"/>
      <c r="B39" s="72"/>
      <c r="C39" s="53" t="s">
        <v>9</v>
      </c>
      <c r="D39" s="52"/>
      <c r="E39" s="52"/>
      <c r="F39" s="55"/>
      <c r="G39" s="55">
        <f>G38+G37</f>
        <v>158400</v>
      </c>
      <c r="H39" s="52"/>
      <c r="I39" s="54"/>
      <c r="J39" s="55"/>
      <c r="K39" s="55">
        <f>K38+K37</f>
        <v>34399.583999999995</v>
      </c>
      <c r="L39" s="52"/>
      <c r="M39" s="54"/>
      <c r="N39" s="55"/>
      <c r="O39" s="55">
        <f>O38+O37</f>
        <v>64082.98799999999</v>
      </c>
      <c r="P39" s="52"/>
      <c r="Q39" s="54"/>
      <c r="R39" s="55"/>
      <c r="S39" s="55">
        <f>S38+S37</f>
        <v>8742.1200000000008</v>
      </c>
      <c r="T39" s="52"/>
      <c r="U39" s="54"/>
      <c r="V39" s="55"/>
      <c r="W39" s="55">
        <f>W38+W37</f>
        <v>51175.307999999997</v>
      </c>
      <c r="X39" s="52"/>
      <c r="Y39" s="54"/>
      <c r="Z39" s="55"/>
      <c r="AA39" s="55">
        <f>AA38+AA37</f>
        <v>0</v>
      </c>
    </row>
    <row r="40" spans="1:27" ht="6.6" customHeight="1">
      <c r="A40" s="73"/>
      <c r="B40" s="74"/>
      <c r="C40" s="45"/>
      <c r="D40" s="46"/>
      <c r="E40" s="51"/>
      <c r="F40" s="48"/>
      <c r="G40" s="48"/>
      <c r="H40" s="46"/>
      <c r="I40" s="47"/>
      <c r="J40" s="48"/>
      <c r="K40" s="48"/>
      <c r="L40" s="49"/>
      <c r="M40" s="50"/>
      <c r="N40" s="48"/>
      <c r="O40" s="48"/>
      <c r="P40" s="49"/>
      <c r="Q40" s="50"/>
      <c r="R40" s="48"/>
      <c r="S40" s="48"/>
      <c r="T40" s="49"/>
      <c r="U40" s="50"/>
      <c r="V40" s="48"/>
      <c r="W40" s="48"/>
      <c r="X40" s="49"/>
      <c r="Y40" s="50"/>
      <c r="Z40" s="48"/>
      <c r="AA40" s="48"/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E48"/>
  <sheetViews>
    <sheetView showGridLines="0" view="pageBreakPreview" zoomScale="70" zoomScaleNormal="85" zoomScaleSheetLayoutView="70" workbookViewId="0">
      <pane ySplit="5" topLeftCell="A6" activePane="bottomLeft" state="frozen"/>
      <selection activeCell="C15" sqref="C15:I15"/>
      <selection pane="bottomLeft" activeCell="U52" sqref="U52"/>
    </sheetView>
  </sheetViews>
  <sheetFormatPr baseColWidth="10" defaultColWidth="11.44140625" defaultRowHeight="14.4"/>
  <cols>
    <col min="1" max="1" width="3.33203125" style="2" customWidth="1"/>
    <col min="2" max="2" width="2.6640625" style="3" bestFit="1" customWidth="1"/>
    <col min="3" max="3" width="55.6640625" style="24" customWidth="1"/>
    <col min="4" max="4" width="4.5546875" style="1" bestFit="1" customWidth="1"/>
    <col min="5" max="5" width="7.88671875" style="1" customWidth="1"/>
    <col min="6" max="6" width="12" style="1" bestFit="1" customWidth="1"/>
    <col min="7" max="7" width="14.5546875" style="1" bestFit="1" customWidth="1"/>
    <col min="8" max="8" width="2.6640625" style="1" customWidth="1"/>
    <col min="9" max="9" width="7.5546875" style="1" bestFit="1" customWidth="1"/>
    <col min="10" max="10" width="12" style="1" bestFit="1" customWidth="1"/>
    <col min="11" max="11" width="14.5546875" style="1" customWidth="1"/>
    <col min="12" max="12" width="2.6640625" style="1" customWidth="1"/>
    <col min="13" max="13" width="7.5546875" style="1" bestFit="1" customWidth="1"/>
    <col min="14" max="14" width="12" style="1" bestFit="1" customWidth="1"/>
    <col min="15" max="15" width="14.44140625" style="1" bestFit="1" customWidth="1"/>
    <col min="16" max="16" width="2.6640625" style="1" customWidth="1"/>
    <col min="17" max="17" width="7.5546875" style="1" bestFit="1" customWidth="1"/>
    <col min="18" max="18" width="12" style="1" bestFit="1" customWidth="1"/>
    <col min="19" max="19" width="14.44140625" style="1" bestFit="1" customWidth="1"/>
    <col min="20" max="20" width="2.6640625" style="1" customWidth="1"/>
    <col min="21" max="21" width="7.5546875" style="1" bestFit="1" customWidth="1"/>
    <col min="22" max="22" width="12" style="1" bestFit="1" customWidth="1"/>
    <col min="23" max="23" width="14.44140625" style="1" bestFit="1" customWidth="1"/>
    <col min="24" max="24" width="2.6640625" style="1" customWidth="1"/>
    <col min="25" max="25" width="7.5546875" style="1" bestFit="1" customWidth="1"/>
    <col min="26" max="26" width="12" style="1" bestFit="1" customWidth="1"/>
    <col min="27" max="27" width="14.44140625" style="1" bestFit="1" customWidth="1"/>
    <col min="28" max="28" width="14.5546875" style="1" bestFit="1" customWidth="1"/>
    <col min="29" max="29" width="12.109375" style="1" bestFit="1" customWidth="1"/>
    <col min="30" max="30" width="11.44140625" style="1"/>
    <col min="31" max="31" width="15" style="1" customWidth="1"/>
    <col min="32" max="16384" width="11.44140625" style="1"/>
  </cols>
  <sheetData>
    <row r="1" spans="1:31" ht="23.25" customHeight="1">
      <c r="A1" s="566" t="s">
        <v>38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8"/>
    </row>
    <row r="2" spans="1:31" ht="8.4" customHeight="1">
      <c r="A2" s="15"/>
      <c r="C2" s="3"/>
      <c r="D2" s="3"/>
      <c r="E2" s="3"/>
      <c r="F2" s="3"/>
      <c r="G2" s="2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23"/>
    </row>
    <row r="3" spans="1:31" ht="19.5" customHeight="1">
      <c r="A3" s="16"/>
      <c r="C3" s="203" t="str">
        <f>'Page de garde'!C15</f>
        <v>IND 00 du 10/06/2025</v>
      </c>
      <c r="E3" s="569" t="s">
        <v>12</v>
      </c>
      <c r="F3" s="570"/>
      <c r="G3" s="571"/>
      <c r="I3" s="572" t="s">
        <v>30</v>
      </c>
      <c r="J3" s="573"/>
      <c r="K3" s="574"/>
      <c r="M3" s="572" t="s">
        <v>31</v>
      </c>
      <c r="N3" s="573"/>
      <c r="O3" s="574"/>
      <c r="Q3" s="572" t="s">
        <v>33</v>
      </c>
      <c r="R3" s="573"/>
      <c r="S3" s="574"/>
      <c r="U3" s="572" t="s">
        <v>34</v>
      </c>
      <c r="V3" s="573"/>
      <c r="W3" s="574"/>
      <c r="Y3" s="572" t="s">
        <v>35</v>
      </c>
      <c r="Z3" s="573"/>
      <c r="AA3" s="574"/>
    </row>
    <row r="4" spans="1:31" ht="19.5" customHeight="1">
      <c r="A4" s="16"/>
      <c r="E4" s="76"/>
      <c r="F4" s="77"/>
      <c r="G4" s="78" t="s">
        <v>11</v>
      </c>
      <c r="I4" s="57"/>
      <c r="J4" s="58"/>
      <c r="K4" s="59" t="s">
        <v>11</v>
      </c>
      <c r="M4" s="60"/>
      <c r="N4" s="58"/>
      <c r="O4" s="59" t="s">
        <v>11</v>
      </c>
      <c r="Q4" s="60"/>
      <c r="R4" s="58"/>
      <c r="S4" s="59" t="s">
        <v>11</v>
      </c>
      <c r="U4" s="60"/>
      <c r="V4" s="58"/>
      <c r="W4" s="59" t="s">
        <v>11</v>
      </c>
      <c r="Y4" s="60"/>
      <c r="Z4" s="58"/>
      <c r="AA4" s="59" t="s">
        <v>11</v>
      </c>
    </row>
    <row r="5" spans="1:31" s="17" customFormat="1" ht="24">
      <c r="A5" s="565" t="s">
        <v>1</v>
      </c>
      <c r="B5" s="565"/>
      <c r="C5" s="25" t="s">
        <v>2</v>
      </c>
      <c r="D5" s="18" t="s">
        <v>0</v>
      </c>
      <c r="E5" s="79" t="s">
        <v>3</v>
      </c>
      <c r="F5" s="79" t="s">
        <v>4</v>
      </c>
      <c r="G5" s="79" t="s">
        <v>5</v>
      </c>
      <c r="H5" s="18"/>
      <c r="I5" s="19" t="s">
        <v>3</v>
      </c>
      <c r="J5" s="19" t="s">
        <v>4</v>
      </c>
      <c r="K5" s="19" t="s">
        <v>5</v>
      </c>
      <c r="L5" s="20"/>
      <c r="M5" s="19" t="s">
        <v>3</v>
      </c>
      <c r="N5" s="19" t="s">
        <v>4</v>
      </c>
      <c r="O5" s="19" t="s">
        <v>5</v>
      </c>
      <c r="P5" s="20"/>
      <c r="Q5" s="19" t="s">
        <v>3</v>
      </c>
      <c r="R5" s="19" t="s">
        <v>4</v>
      </c>
      <c r="S5" s="19" t="s">
        <v>5</v>
      </c>
      <c r="T5" s="20"/>
      <c r="U5" s="19" t="s">
        <v>3</v>
      </c>
      <c r="V5" s="19" t="s">
        <v>4</v>
      </c>
      <c r="W5" s="19" t="s">
        <v>5</v>
      </c>
      <c r="X5" s="20"/>
      <c r="Y5" s="19" t="s">
        <v>3</v>
      </c>
      <c r="Z5" s="19" t="s">
        <v>4</v>
      </c>
      <c r="AA5" s="19" t="s">
        <v>5</v>
      </c>
    </row>
    <row r="6" spans="1:31">
      <c r="A6" s="61"/>
      <c r="B6" s="62" t="s">
        <v>19</v>
      </c>
      <c r="C6" s="63" t="s">
        <v>156</v>
      </c>
      <c r="D6" s="64"/>
      <c r="E6" s="366"/>
      <c r="F6" s="66"/>
      <c r="G6" s="66"/>
      <c r="H6" s="64"/>
      <c r="I6" s="366"/>
      <c r="J6" s="66"/>
      <c r="K6" s="66"/>
      <c r="L6" s="64"/>
      <c r="M6" s="366"/>
      <c r="N6" s="66"/>
      <c r="O6" s="66"/>
      <c r="P6" s="64"/>
      <c r="Q6" s="366"/>
      <c r="R6" s="66"/>
      <c r="S6" s="66"/>
      <c r="T6" s="64"/>
      <c r="U6" s="366"/>
      <c r="V6" s="66"/>
      <c r="W6" s="66"/>
      <c r="X6" s="64"/>
      <c r="Y6" s="366"/>
      <c r="Z6" s="66"/>
      <c r="AA6" s="66"/>
    </row>
    <row r="7" spans="1:31">
      <c r="A7" s="14"/>
      <c r="B7" s="31"/>
      <c r="C7" s="28" t="s">
        <v>157</v>
      </c>
      <c r="D7" s="67" t="s">
        <v>11</v>
      </c>
      <c r="E7" s="29">
        <f>I7+M7+Q7+U7+Y7</f>
        <v>373</v>
      </c>
      <c r="F7" s="32">
        <v>206.61</v>
      </c>
      <c r="G7" s="32">
        <f>F7*E7</f>
        <v>77065.53</v>
      </c>
      <c r="H7" s="67"/>
      <c r="I7" s="67">
        <v>70</v>
      </c>
      <c r="J7" s="32">
        <f>$F7</f>
        <v>206.61</v>
      </c>
      <c r="K7" s="32">
        <f>I7*J7</f>
        <v>14462.7</v>
      </c>
      <c r="L7" s="67"/>
      <c r="M7" s="67">
        <v>128</v>
      </c>
      <c r="N7" s="32">
        <f t="shared" ref="N7:N10" si="0">$F7</f>
        <v>206.61</v>
      </c>
      <c r="O7" s="32">
        <f t="shared" ref="O7:O10" si="1">M7*N7</f>
        <v>26446.080000000002</v>
      </c>
      <c r="P7" s="67"/>
      <c r="Q7" s="67">
        <v>0</v>
      </c>
      <c r="R7" s="32">
        <f t="shared" ref="R7:R10" si="2">$F7</f>
        <v>206.61</v>
      </c>
      <c r="S7" s="32">
        <f t="shared" ref="S7:S10" si="3">Q7*R7</f>
        <v>0</v>
      </c>
      <c r="T7" s="67"/>
      <c r="U7" s="67">
        <v>175</v>
      </c>
      <c r="V7" s="32">
        <f t="shared" ref="V7:V10" si="4">$F7</f>
        <v>206.61</v>
      </c>
      <c r="W7" s="32">
        <f t="shared" ref="W7:W10" si="5">U7*V7</f>
        <v>36156.75</v>
      </c>
      <c r="X7" s="67"/>
      <c r="Y7" s="67">
        <v>0</v>
      </c>
      <c r="Z7" s="32">
        <f t="shared" ref="Z7:Z10" si="6">$F7</f>
        <v>206.61</v>
      </c>
      <c r="AA7" s="32">
        <f t="shared" ref="AA7:AA10" si="7">Y7*Z7</f>
        <v>0</v>
      </c>
    </row>
    <row r="8" spans="1:31">
      <c r="A8" s="14"/>
      <c r="B8" s="31"/>
      <c r="C8" s="28" t="s">
        <v>170</v>
      </c>
      <c r="D8" s="67" t="s">
        <v>70</v>
      </c>
      <c r="E8" s="29">
        <v>215</v>
      </c>
      <c r="F8" s="32">
        <v>36.375</v>
      </c>
      <c r="G8" s="32">
        <f t="shared" ref="G8:G10" si="8">F8*E8</f>
        <v>7820.625</v>
      </c>
      <c r="H8" s="67"/>
      <c r="I8" s="67">
        <v>60</v>
      </c>
      <c r="J8" s="32">
        <f t="shared" ref="J8:J10" si="9">$F8</f>
        <v>36.375</v>
      </c>
      <c r="K8" s="32">
        <f t="shared" ref="K8:K10" si="10">I8*J8</f>
        <v>2182.5</v>
      </c>
      <c r="L8" s="67"/>
      <c r="M8" s="67">
        <v>100</v>
      </c>
      <c r="N8" s="32">
        <f t="shared" si="0"/>
        <v>36.375</v>
      </c>
      <c r="O8" s="32">
        <f t="shared" si="1"/>
        <v>3637.5</v>
      </c>
      <c r="P8" s="67"/>
      <c r="Q8" s="67">
        <v>0</v>
      </c>
      <c r="R8" s="32">
        <f t="shared" si="2"/>
        <v>36.375</v>
      </c>
      <c r="S8" s="32">
        <f t="shared" si="3"/>
        <v>0</v>
      </c>
      <c r="T8" s="67"/>
      <c r="U8" s="67">
        <v>55</v>
      </c>
      <c r="V8" s="32">
        <f t="shared" si="4"/>
        <v>36.375</v>
      </c>
      <c r="W8" s="32">
        <f t="shared" si="5"/>
        <v>2000.625</v>
      </c>
      <c r="X8" s="67"/>
      <c r="Y8" s="67">
        <v>0</v>
      </c>
      <c r="Z8" s="32">
        <f t="shared" si="6"/>
        <v>36.375</v>
      </c>
      <c r="AA8" s="32">
        <f t="shared" si="7"/>
        <v>0</v>
      </c>
    </row>
    <row r="9" spans="1:31">
      <c r="A9" s="14"/>
      <c r="B9" s="31"/>
      <c r="C9" s="28" t="s">
        <v>664</v>
      </c>
      <c r="D9" s="67" t="s">
        <v>70</v>
      </c>
      <c r="E9" s="29">
        <v>269</v>
      </c>
      <c r="F9" s="32">
        <v>66.929999999999993</v>
      </c>
      <c r="G9" s="32">
        <f t="shared" si="8"/>
        <v>18004.169999999998</v>
      </c>
      <c r="H9" s="67"/>
      <c r="I9" s="67">
        <v>52</v>
      </c>
      <c r="J9" s="32">
        <f t="shared" si="9"/>
        <v>66.929999999999993</v>
      </c>
      <c r="K9" s="32">
        <f t="shared" si="10"/>
        <v>3480.3599999999997</v>
      </c>
      <c r="L9" s="67"/>
      <c r="M9" s="67">
        <v>139</v>
      </c>
      <c r="N9" s="32">
        <f t="shared" si="0"/>
        <v>66.929999999999993</v>
      </c>
      <c r="O9" s="32">
        <f t="shared" si="1"/>
        <v>9303.2699999999986</v>
      </c>
      <c r="P9" s="67"/>
      <c r="Q9" s="67">
        <v>28</v>
      </c>
      <c r="R9" s="32">
        <f t="shared" si="2"/>
        <v>66.929999999999993</v>
      </c>
      <c r="S9" s="32">
        <f t="shared" si="3"/>
        <v>1874.0399999999997</v>
      </c>
      <c r="T9" s="67"/>
      <c r="U9" s="67">
        <v>50</v>
      </c>
      <c r="V9" s="32">
        <f t="shared" si="4"/>
        <v>66.929999999999993</v>
      </c>
      <c r="W9" s="32">
        <f t="shared" si="5"/>
        <v>3346.4999999999995</v>
      </c>
      <c r="X9" s="67"/>
      <c r="Y9" s="67">
        <v>0</v>
      </c>
      <c r="Z9" s="32">
        <f t="shared" si="6"/>
        <v>66.929999999999993</v>
      </c>
      <c r="AA9" s="32">
        <f t="shared" si="7"/>
        <v>0</v>
      </c>
    </row>
    <row r="10" spans="1:31">
      <c r="A10" s="14"/>
      <c r="B10" s="31"/>
      <c r="C10" s="28" t="s">
        <v>154</v>
      </c>
      <c r="D10" s="67" t="s">
        <v>70</v>
      </c>
      <c r="E10" s="29">
        <v>91</v>
      </c>
      <c r="F10" s="32">
        <v>55.29</v>
      </c>
      <c r="G10" s="32">
        <f t="shared" si="8"/>
        <v>5031.3900000000003</v>
      </c>
      <c r="H10" s="67"/>
      <c r="I10" s="67">
        <v>10</v>
      </c>
      <c r="J10" s="32">
        <f t="shared" si="9"/>
        <v>55.29</v>
      </c>
      <c r="K10" s="32">
        <f t="shared" si="10"/>
        <v>552.9</v>
      </c>
      <c r="L10" s="67"/>
      <c r="M10" s="67">
        <v>41</v>
      </c>
      <c r="N10" s="32">
        <f t="shared" si="0"/>
        <v>55.29</v>
      </c>
      <c r="O10" s="32">
        <f t="shared" si="1"/>
        <v>2266.89</v>
      </c>
      <c r="P10" s="67"/>
      <c r="Q10" s="67">
        <v>15</v>
      </c>
      <c r="R10" s="32">
        <f t="shared" si="2"/>
        <v>55.29</v>
      </c>
      <c r="S10" s="32">
        <f t="shared" si="3"/>
        <v>829.35</v>
      </c>
      <c r="T10" s="67"/>
      <c r="U10" s="67">
        <v>25</v>
      </c>
      <c r="V10" s="32">
        <f t="shared" si="4"/>
        <v>55.29</v>
      </c>
      <c r="W10" s="32">
        <f t="shared" si="5"/>
        <v>1382.25</v>
      </c>
      <c r="X10" s="67"/>
      <c r="Y10" s="67">
        <v>0</v>
      </c>
      <c r="Z10" s="32">
        <f t="shared" si="6"/>
        <v>55.29</v>
      </c>
      <c r="AA10" s="32">
        <f t="shared" si="7"/>
        <v>0</v>
      </c>
      <c r="AC10" s="22"/>
      <c r="AD10" s="22"/>
      <c r="AE10" s="22"/>
    </row>
    <row r="11" spans="1:31">
      <c r="A11" s="14"/>
      <c r="B11" s="31"/>
      <c r="C11" s="28"/>
      <c r="D11" s="67"/>
      <c r="E11" s="67"/>
      <c r="F11" s="32"/>
      <c r="G11" s="32"/>
      <c r="H11" s="67"/>
      <c r="I11" s="67"/>
      <c r="J11" s="32"/>
      <c r="K11" s="32"/>
      <c r="L11" s="67"/>
      <c r="M11" s="67"/>
      <c r="N11" s="32"/>
      <c r="O11" s="32"/>
      <c r="P11" s="67"/>
      <c r="Q11" s="67"/>
      <c r="R11" s="32"/>
      <c r="S11" s="32"/>
      <c r="T11" s="67"/>
      <c r="U11" s="67"/>
      <c r="V11" s="32"/>
      <c r="W11" s="32"/>
      <c r="X11" s="67"/>
      <c r="Y11" s="67"/>
      <c r="Z11" s="32"/>
      <c r="AA11" s="32"/>
    </row>
    <row r="12" spans="1:31">
      <c r="A12" s="35"/>
      <c r="B12" s="27"/>
      <c r="C12" s="38" t="s">
        <v>164</v>
      </c>
      <c r="D12" s="68"/>
      <c r="E12" s="369"/>
      <c r="F12" s="33" t="s">
        <v>10</v>
      </c>
      <c r="G12" s="34">
        <f>SUM(G7:G10)</f>
        <v>107921.715</v>
      </c>
      <c r="H12" s="68"/>
      <c r="I12" s="369"/>
      <c r="J12" s="33" t="s">
        <v>10</v>
      </c>
      <c r="K12" s="34">
        <f>SUM(K6:K11)</f>
        <v>20678.460000000003</v>
      </c>
      <c r="L12" s="68"/>
      <c r="M12" s="369"/>
      <c r="N12" s="33" t="s">
        <v>10</v>
      </c>
      <c r="O12" s="34">
        <f>SUM(O6:O11)</f>
        <v>41653.74</v>
      </c>
      <c r="P12" s="68"/>
      <c r="Q12" s="369"/>
      <c r="R12" s="33" t="s">
        <v>10</v>
      </c>
      <c r="S12" s="34">
        <f>SUM(S6:S11)</f>
        <v>2703.39</v>
      </c>
      <c r="T12" s="68"/>
      <c r="U12" s="369"/>
      <c r="V12" s="33" t="s">
        <v>10</v>
      </c>
      <c r="W12" s="34">
        <f>SUM(W6:W11)</f>
        <v>42886.125</v>
      </c>
      <c r="X12" s="68"/>
      <c r="Y12" s="369"/>
      <c r="Z12" s="33" t="s">
        <v>10</v>
      </c>
      <c r="AA12" s="34">
        <f>SUM(AA6:AA11)</f>
        <v>0</v>
      </c>
    </row>
    <row r="13" spans="1:31">
      <c r="A13" s="35"/>
      <c r="B13" s="27"/>
      <c r="C13" s="36"/>
      <c r="D13" s="68"/>
      <c r="E13" s="369"/>
      <c r="F13" s="33"/>
      <c r="G13" s="34"/>
      <c r="H13" s="68"/>
      <c r="I13" s="369"/>
      <c r="J13" s="33"/>
      <c r="K13" s="34"/>
      <c r="L13" s="68"/>
      <c r="M13" s="369"/>
      <c r="N13" s="33"/>
      <c r="O13" s="34"/>
      <c r="P13" s="68"/>
      <c r="Q13" s="369"/>
      <c r="R13" s="33"/>
      <c r="S13" s="34"/>
      <c r="T13" s="68"/>
      <c r="U13" s="369"/>
      <c r="V13" s="33"/>
      <c r="W13" s="34"/>
      <c r="X13" s="68"/>
      <c r="Y13" s="369"/>
      <c r="Z13" s="33"/>
      <c r="AA13" s="34"/>
    </row>
    <row r="14" spans="1:31">
      <c r="A14" s="14"/>
      <c r="B14" s="31"/>
      <c r="C14" s="28"/>
      <c r="D14" s="67"/>
      <c r="E14" s="67"/>
      <c r="F14" s="33"/>
      <c r="G14" s="34"/>
      <c r="H14" s="67"/>
      <c r="I14" s="67"/>
      <c r="J14" s="33"/>
      <c r="K14" s="34"/>
      <c r="L14" s="67"/>
      <c r="M14" s="67"/>
      <c r="N14" s="33"/>
      <c r="O14" s="34"/>
      <c r="P14" s="67"/>
      <c r="Q14" s="67"/>
      <c r="R14" s="33"/>
      <c r="S14" s="34"/>
      <c r="T14" s="67"/>
      <c r="U14" s="67"/>
      <c r="V14" s="33"/>
      <c r="W14" s="34"/>
      <c r="X14" s="67"/>
      <c r="Y14" s="67"/>
      <c r="Z14" s="33"/>
      <c r="AA14" s="34"/>
    </row>
    <row r="15" spans="1:31">
      <c r="A15" s="61"/>
      <c r="B15" s="62" t="s">
        <v>20</v>
      </c>
      <c r="C15" s="63" t="s">
        <v>173</v>
      </c>
      <c r="D15" s="64"/>
      <c r="E15" s="366"/>
      <c r="F15" s="66"/>
      <c r="G15" s="66"/>
      <c r="H15" s="64"/>
      <c r="I15" s="366"/>
      <c r="J15" s="66"/>
      <c r="K15" s="66"/>
      <c r="L15" s="64"/>
      <c r="M15" s="366"/>
      <c r="N15" s="66"/>
      <c r="O15" s="66"/>
      <c r="P15" s="64"/>
      <c r="Q15" s="366"/>
      <c r="R15" s="66"/>
      <c r="S15" s="66"/>
      <c r="T15" s="64"/>
      <c r="U15" s="366"/>
      <c r="V15" s="66"/>
      <c r="W15" s="66"/>
      <c r="X15" s="64"/>
      <c r="Y15" s="366"/>
      <c r="Z15" s="66"/>
      <c r="AA15" s="66"/>
    </row>
    <row r="16" spans="1:31">
      <c r="A16" s="14"/>
      <c r="B16" s="31"/>
      <c r="C16" s="28" t="s">
        <v>158</v>
      </c>
      <c r="D16" s="67" t="s">
        <v>11</v>
      </c>
      <c r="E16" s="29">
        <f>I16+M16+Q16+U16+Y16</f>
        <v>373</v>
      </c>
      <c r="F16" s="32">
        <v>32.979999999999997</v>
      </c>
      <c r="G16" s="32">
        <f t="shared" ref="G16:G17" si="11">F16*E16</f>
        <v>12301.539999999999</v>
      </c>
      <c r="H16" s="67"/>
      <c r="I16" s="67">
        <v>144</v>
      </c>
      <c r="J16" s="32">
        <f t="shared" ref="J16:J17" si="12">$F16</f>
        <v>32.979999999999997</v>
      </c>
      <c r="K16" s="32">
        <f t="shared" ref="K16:K17" si="13">I16*J16</f>
        <v>4749.12</v>
      </c>
      <c r="L16" s="67"/>
      <c r="M16" s="67">
        <v>114</v>
      </c>
      <c r="N16" s="32">
        <f t="shared" ref="N16:N17" si="14">$F16</f>
        <v>32.979999999999997</v>
      </c>
      <c r="O16" s="32">
        <f t="shared" ref="O16:O17" si="15">M16*N16</f>
        <v>3759.72</v>
      </c>
      <c r="P16" s="67"/>
      <c r="Q16" s="67">
        <v>85</v>
      </c>
      <c r="R16" s="32">
        <f t="shared" ref="R16:R17" si="16">$F16</f>
        <v>32.979999999999997</v>
      </c>
      <c r="S16" s="32">
        <f t="shared" ref="S16:S17" si="17">Q16*R16</f>
        <v>2803.2999999999997</v>
      </c>
      <c r="T16" s="67"/>
      <c r="U16" s="67">
        <v>30</v>
      </c>
      <c r="V16" s="32">
        <f t="shared" ref="V16:V17" si="18">$F16</f>
        <v>32.979999999999997</v>
      </c>
      <c r="W16" s="32">
        <f t="shared" ref="W16:W17" si="19">U16*V16</f>
        <v>989.39999999999986</v>
      </c>
      <c r="X16" s="67"/>
      <c r="Y16" s="67">
        <v>0</v>
      </c>
      <c r="Z16" s="32">
        <f t="shared" ref="Z16:Z17" si="20">$F16</f>
        <v>32.979999999999997</v>
      </c>
      <c r="AA16" s="32">
        <f t="shared" ref="AA16:AA17" si="21">Y16*Z16</f>
        <v>0</v>
      </c>
    </row>
    <row r="17" spans="1:31">
      <c r="A17" s="14"/>
      <c r="B17" s="31"/>
      <c r="C17" s="192" t="s">
        <v>169</v>
      </c>
      <c r="D17" s="67" t="s">
        <v>11</v>
      </c>
      <c r="E17" s="29">
        <v>180</v>
      </c>
      <c r="F17" s="32">
        <v>37.83</v>
      </c>
      <c r="G17" s="32">
        <f t="shared" si="11"/>
        <v>6809.4</v>
      </c>
      <c r="H17" s="67"/>
      <c r="I17" s="67">
        <v>0</v>
      </c>
      <c r="J17" s="32">
        <f t="shared" si="12"/>
        <v>37.83</v>
      </c>
      <c r="K17" s="32">
        <f t="shared" si="13"/>
        <v>0</v>
      </c>
      <c r="L17" s="67"/>
      <c r="M17" s="67">
        <v>140</v>
      </c>
      <c r="N17" s="32">
        <f t="shared" si="14"/>
        <v>37.83</v>
      </c>
      <c r="O17" s="32">
        <f t="shared" si="15"/>
        <v>5296.2</v>
      </c>
      <c r="P17" s="67"/>
      <c r="Q17" s="67">
        <v>30</v>
      </c>
      <c r="R17" s="32">
        <f t="shared" si="16"/>
        <v>37.83</v>
      </c>
      <c r="S17" s="32">
        <f t="shared" si="17"/>
        <v>1134.8999999999999</v>
      </c>
      <c r="T17" s="67"/>
      <c r="U17" s="67">
        <v>0</v>
      </c>
      <c r="V17" s="32">
        <f t="shared" si="18"/>
        <v>37.83</v>
      </c>
      <c r="W17" s="32">
        <f t="shared" si="19"/>
        <v>0</v>
      </c>
      <c r="X17" s="67"/>
      <c r="Y17" s="67">
        <v>10</v>
      </c>
      <c r="Z17" s="32">
        <f t="shared" si="20"/>
        <v>37.83</v>
      </c>
      <c r="AA17" s="32">
        <f t="shared" si="21"/>
        <v>378.29999999999995</v>
      </c>
    </row>
    <row r="18" spans="1:31">
      <c r="A18" s="14"/>
      <c r="B18" s="31"/>
      <c r="C18" s="28"/>
      <c r="D18" s="67"/>
      <c r="E18" s="67"/>
      <c r="F18" s="32"/>
      <c r="G18" s="32"/>
      <c r="H18" s="67"/>
      <c r="I18" s="67"/>
      <c r="J18" s="32"/>
      <c r="K18" s="32"/>
      <c r="L18" s="67"/>
      <c r="M18" s="67"/>
      <c r="N18" s="32"/>
      <c r="O18" s="32"/>
      <c r="P18" s="67"/>
      <c r="Q18" s="67"/>
      <c r="R18" s="32"/>
      <c r="S18" s="32"/>
      <c r="T18" s="67"/>
      <c r="U18" s="67"/>
      <c r="V18" s="32"/>
      <c r="W18" s="32"/>
      <c r="X18" s="67"/>
      <c r="Y18" s="67"/>
      <c r="Z18" s="32"/>
      <c r="AA18" s="32"/>
    </row>
    <row r="19" spans="1:31">
      <c r="A19" s="35"/>
      <c r="B19" s="27"/>
      <c r="C19" s="38" t="s">
        <v>163</v>
      </c>
      <c r="D19" s="68"/>
      <c r="E19" s="369"/>
      <c r="F19" s="33" t="s">
        <v>10</v>
      </c>
      <c r="G19" s="34">
        <f>SUM(G15:G18)</f>
        <v>19110.939999999999</v>
      </c>
      <c r="H19" s="68"/>
      <c r="I19" s="369"/>
      <c r="J19" s="33" t="s">
        <v>10</v>
      </c>
      <c r="K19" s="34">
        <f>SUM(K15:K18)</f>
        <v>4749.12</v>
      </c>
      <c r="L19" s="68"/>
      <c r="M19" s="369"/>
      <c r="N19" s="33" t="s">
        <v>10</v>
      </c>
      <c r="O19" s="34">
        <f>SUM(O15:O18)</f>
        <v>9055.92</v>
      </c>
      <c r="P19" s="68"/>
      <c r="Q19" s="369"/>
      <c r="R19" s="33" t="s">
        <v>10</v>
      </c>
      <c r="S19" s="34">
        <f>SUM(S15:S18)</f>
        <v>3938.2</v>
      </c>
      <c r="T19" s="68"/>
      <c r="U19" s="369"/>
      <c r="V19" s="33" t="s">
        <v>10</v>
      </c>
      <c r="W19" s="34">
        <f>SUM(W15:W18)</f>
        <v>989.39999999999986</v>
      </c>
      <c r="X19" s="68"/>
      <c r="Y19" s="369"/>
      <c r="Z19" s="33" t="s">
        <v>10</v>
      </c>
      <c r="AA19" s="34">
        <f>SUM(AA15:AA18)</f>
        <v>378.29999999999995</v>
      </c>
    </row>
    <row r="20" spans="1:31">
      <c r="A20" s="35"/>
      <c r="B20" s="27"/>
      <c r="C20" s="36"/>
      <c r="D20" s="68"/>
      <c r="E20" s="369"/>
      <c r="F20" s="33"/>
      <c r="G20" s="34"/>
      <c r="H20" s="68"/>
      <c r="I20" s="369"/>
      <c r="J20" s="33"/>
      <c r="K20" s="34"/>
      <c r="L20" s="68"/>
      <c r="M20" s="369"/>
      <c r="N20" s="33"/>
      <c r="O20" s="34"/>
      <c r="P20" s="68"/>
      <c r="Q20" s="369"/>
      <c r="R20" s="33"/>
      <c r="S20" s="34"/>
      <c r="T20" s="68"/>
      <c r="U20" s="369"/>
      <c r="V20" s="33"/>
      <c r="W20" s="34"/>
      <c r="X20" s="68"/>
      <c r="Y20" s="369"/>
      <c r="Z20" s="33"/>
      <c r="AA20" s="34"/>
    </row>
    <row r="21" spans="1:31">
      <c r="A21" s="14"/>
      <c r="B21" s="31"/>
      <c r="C21" s="28"/>
      <c r="D21" s="67"/>
      <c r="E21" s="67"/>
      <c r="F21" s="33"/>
      <c r="G21" s="34"/>
      <c r="H21" s="67"/>
      <c r="I21" s="67"/>
      <c r="J21" s="33"/>
      <c r="K21" s="34"/>
      <c r="L21" s="67"/>
      <c r="M21" s="67"/>
      <c r="N21" s="33"/>
      <c r="O21" s="34"/>
      <c r="P21" s="67"/>
      <c r="Q21" s="67"/>
      <c r="R21" s="33"/>
      <c r="S21" s="34"/>
      <c r="T21" s="67"/>
      <c r="U21" s="67"/>
      <c r="V21" s="33"/>
      <c r="W21" s="34"/>
      <c r="X21" s="67"/>
      <c r="Y21" s="67"/>
      <c r="Z21" s="33"/>
      <c r="AA21" s="34"/>
    </row>
    <row r="22" spans="1:31">
      <c r="A22" s="61"/>
      <c r="B22" s="62" t="s">
        <v>21</v>
      </c>
      <c r="C22" s="63" t="s">
        <v>159</v>
      </c>
      <c r="D22" s="64"/>
      <c r="E22" s="366"/>
      <c r="F22" s="66"/>
      <c r="G22" s="66"/>
      <c r="H22" s="64"/>
      <c r="I22" s="366"/>
      <c r="J22" s="66"/>
      <c r="K22" s="66"/>
      <c r="L22" s="64"/>
      <c r="M22" s="366"/>
      <c r="N22" s="66"/>
      <c r="O22" s="66"/>
      <c r="P22" s="64"/>
      <c r="Q22" s="366"/>
      <c r="R22" s="66"/>
      <c r="S22" s="66"/>
      <c r="T22" s="64"/>
      <c r="U22" s="366"/>
      <c r="V22" s="66"/>
      <c r="W22" s="66"/>
      <c r="X22" s="64"/>
      <c r="Y22" s="366"/>
      <c r="Z22" s="66"/>
      <c r="AA22" s="66"/>
    </row>
    <row r="23" spans="1:31">
      <c r="A23" s="14"/>
      <c r="B23" s="31"/>
      <c r="C23" s="28" t="s">
        <v>160</v>
      </c>
      <c r="D23" s="67" t="s">
        <v>69</v>
      </c>
      <c r="E23" s="29">
        <v>1</v>
      </c>
      <c r="F23" s="40">
        <v>1812.93</v>
      </c>
      <c r="G23" s="32">
        <f t="shared" ref="G23:G25" si="22">F23*E23</f>
        <v>1812.93</v>
      </c>
      <c r="H23" s="67"/>
      <c r="I23" s="67">
        <v>0</v>
      </c>
      <c r="J23" s="32">
        <f t="shared" ref="J23:J25" si="23">$F23</f>
        <v>1812.93</v>
      </c>
      <c r="K23" s="32">
        <f t="shared" ref="K23:K25" si="24">I23*J23</f>
        <v>0</v>
      </c>
      <c r="L23" s="67"/>
      <c r="M23" s="67">
        <v>0</v>
      </c>
      <c r="N23" s="32">
        <f t="shared" ref="N23:N25" si="25">$F23</f>
        <v>1812.93</v>
      </c>
      <c r="O23" s="32">
        <f t="shared" ref="O23:O25" si="26">M23*N23</f>
        <v>0</v>
      </c>
      <c r="P23" s="67"/>
      <c r="Q23" s="67">
        <v>1</v>
      </c>
      <c r="R23" s="32">
        <f t="shared" ref="R23:R25" si="27">$F23</f>
        <v>1812.93</v>
      </c>
      <c r="S23" s="32">
        <f t="shared" ref="S23:S25" si="28">Q23*R23</f>
        <v>1812.93</v>
      </c>
      <c r="T23" s="67"/>
      <c r="U23" s="67">
        <v>0</v>
      </c>
      <c r="V23" s="32">
        <f t="shared" ref="V23:V25" si="29">$F23</f>
        <v>1812.93</v>
      </c>
      <c r="W23" s="32">
        <f t="shared" ref="W23:W25" si="30">U23*V23</f>
        <v>0</v>
      </c>
      <c r="X23" s="67"/>
      <c r="Y23" s="67">
        <v>0</v>
      </c>
      <c r="Z23" s="32">
        <f t="shared" ref="Z23:Z25" si="31">$F23</f>
        <v>1812.93</v>
      </c>
      <c r="AA23" s="32">
        <f t="shared" ref="AA23:AA25" si="32">Y23*Z23</f>
        <v>0</v>
      </c>
      <c r="AC23" s="22"/>
      <c r="AD23" s="22"/>
      <c r="AE23" s="22"/>
    </row>
    <row r="24" spans="1:31">
      <c r="A24" s="14"/>
      <c r="B24" s="31"/>
      <c r="C24" s="357" t="s">
        <v>852</v>
      </c>
      <c r="D24" s="67" t="s">
        <v>69</v>
      </c>
      <c r="E24" s="29">
        <v>3</v>
      </c>
      <c r="F24" s="40">
        <v>126.1</v>
      </c>
      <c r="G24" s="32">
        <f t="shared" si="22"/>
        <v>378.29999999999995</v>
      </c>
      <c r="H24" s="67"/>
      <c r="I24" s="67">
        <v>0</v>
      </c>
      <c r="J24" s="32">
        <f t="shared" si="23"/>
        <v>126.1</v>
      </c>
      <c r="K24" s="32">
        <f t="shared" si="24"/>
        <v>0</v>
      </c>
      <c r="L24" s="67"/>
      <c r="M24" s="67">
        <v>0</v>
      </c>
      <c r="N24" s="32">
        <f t="shared" si="25"/>
        <v>126.1</v>
      </c>
      <c r="O24" s="32">
        <f t="shared" si="26"/>
        <v>0</v>
      </c>
      <c r="P24" s="67"/>
      <c r="Q24" s="67">
        <v>3</v>
      </c>
      <c r="R24" s="32">
        <f t="shared" si="27"/>
        <v>126.1</v>
      </c>
      <c r="S24" s="32">
        <f t="shared" si="28"/>
        <v>378.29999999999995</v>
      </c>
      <c r="T24" s="67"/>
      <c r="U24" s="67">
        <v>0</v>
      </c>
      <c r="V24" s="32">
        <f t="shared" si="29"/>
        <v>126.1</v>
      </c>
      <c r="W24" s="32">
        <f t="shared" si="30"/>
        <v>0</v>
      </c>
      <c r="X24" s="67"/>
      <c r="Y24" s="67">
        <v>0</v>
      </c>
      <c r="Z24" s="32">
        <f t="shared" si="31"/>
        <v>126.1</v>
      </c>
      <c r="AA24" s="32">
        <f t="shared" si="32"/>
        <v>0</v>
      </c>
      <c r="AC24" s="22"/>
      <c r="AD24" s="22"/>
      <c r="AE24" s="22"/>
    </row>
    <row r="25" spans="1:31">
      <c r="A25" s="14"/>
      <c r="B25" s="31"/>
      <c r="C25" s="192" t="s">
        <v>161</v>
      </c>
      <c r="D25" s="197" t="s">
        <v>69</v>
      </c>
      <c r="E25" s="29">
        <v>1</v>
      </c>
      <c r="F25" s="40">
        <v>4355.3</v>
      </c>
      <c r="G25" s="32">
        <f t="shared" si="22"/>
        <v>4355.3</v>
      </c>
      <c r="H25" s="67"/>
      <c r="I25" s="67">
        <v>0</v>
      </c>
      <c r="J25" s="32">
        <f t="shared" si="23"/>
        <v>4355.3</v>
      </c>
      <c r="K25" s="32">
        <f t="shared" si="24"/>
        <v>0</v>
      </c>
      <c r="L25" s="67"/>
      <c r="M25" s="67">
        <v>0</v>
      </c>
      <c r="N25" s="32">
        <f t="shared" si="25"/>
        <v>4355.3</v>
      </c>
      <c r="O25" s="32">
        <f t="shared" si="26"/>
        <v>0</v>
      </c>
      <c r="P25" s="67"/>
      <c r="Q25" s="67">
        <v>1</v>
      </c>
      <c r="R25" s="32">
        <f t="shared" si="27"/>
        <v>4355.3</v>
      </c>
      <c r="S25" s="32">
        <f t="shared" si="28"/>
        <v>4355.3</v>
      </c>
      <c r="T25" s="67"/>
      <c r="U25" s="67">
        <v>0</v>
      </c>
      <c r="V25" s="32">
        <f t="shared" si="29"/>
        <v>4355.3</v>
      </c>
      <c r="W25" s="32">
        <f t="shared" si="30"/>
        <v>0</v>
      </c>
      <c r="X25" s="67"/>
      <c r="Y25" s="67">
        <v>0</v>
      </c>
      <c r="Z25" s="32">
        <f t="shared" si="31"/>
        <v>4355.3</v>
      </c>
      <c r="AA25" s="32">
        <f t="shared" si="32"/>
        <v>0</v>
      </c>
      <c r="AC25" s="22"/>
      <c r="AD25" s="22"/>
      <c r="AE25" s="22"/>
    </row>
    <row r="26" spans="1:31">
      <c r="A26" s="14"/>
      <c r="B26" s="31"/>
      <c r="C26" s="28"/>
      <c r="D26" s="67"/>
      <c r="E26" s="67"/>
      <c r="F26" s="32"/>
      <c r="G26" s="32"/>
      <c r="H26" s="67"/>
      <c r="I26" s="67"/>
      <c r="J26" s="32"/>
      <c r="K26" s="32"/>
      <c r="L26" s="67"/>
      <c r="M26" s="67"/>
      <c r="N26" s="32"/>
      <c r="O26" s="32"/>
      <c r="P26" s="67"/>
      <c r="Q26" s="67"/>
      <c r="R26" s="32"/>
      <c r="S26" s="32"/>
      <c r="T26" s="67"/>
      <c r="U26" s="67"/>
      <c r="V26" s="32"/>
      <c r="W26" s="32"/>
      <c r="X26" s="67"/>
      <c r="Y26" s="67"/>
      <c r="Z26" s="32"/>
      <c r="AA26" s="32"/>
      <c r="AC26" s="22"/>
      <c r="AD26" s="22"/>
      <c r="AE26" s="22"/>
    </row>
    <row r="27" spans="1:31">
      <c r="A27" s="35"/>
      <c r="B27" s="27"/>
      <c r="C27" s="38" t="s">
        <v>162</v>
      </c>
      <c r="D27" s="68"/>
      <c r="E27" s="369"/>
      <c r="F27" s="33" t="s">
        <v>10</v>
      </c>
      <c r="G27" s="34">
        <f>SUM(G23:G26)</f>
        <v>6546.5300000000007</v>
      </c>
      <c r="H27" s="68"/>
      <c r="I27" s="369"/>
      <c r="J27" s="33" t="s">
        <v>10</v>
      </c>
      <c r="K27" s="34">
        <f>SUM(K22:K26)</f>
        <v>0</v>
      </c>
      <c r="L27" s="68"/>
      <c r="M27" s="369"/>
      <c r="N27" s="33" t="s">
        <v>10</v>
      </c>
      <c r="O27" s="34">
        <f>SUM(O22:O26)</f>
        <v>0</v>
      </c>
      <c r="P27" s="68"/>
      <c r="Q27" s="369"/>
      <c r="R27" s="33" t="s">
        <v>10</v>
      </c>
      <c r="S27" s="34">
        <f>SUM(S22:S26)</f>
        <v>6546.5300000000007</v>
      </c>
      <c r="T27" s="68"/>
      <c r="U27" s="369"/>
      <c r="V27" s="33" t="s">
        <v>10</v>
      </c>
      <c r="W27" s="34">
        <f>SUM(W22:W26)</f>
        <v>0</v>
      </c>
      <c r="X27" s="68"/>
      <c r="Y27" s="369"/>
      <c r="Z27" s="33" t="s">
        <v>10</v>
      </c>
      <c r="AA27" s="34">
        <f>SUM(AA22:AA26)</f>
        <v>0</v>
      </c>
    </row>
    <row r="28" spans="1:31">
      <c r="A28" s="35"/>
      <c r="B28" s="27"/>
      <c r="C28" s="36"/>
      <c r="D28" s="68"/>
      <c r="E28" s="369"/>
      <c r="F28" s="33"/>
      <c r="G28" s="34"/>
      <c r="H28" s="68"/>
      <c r="I28" s="369"/>
      <c r="J28" s="33"/>
      <c r="K28" s="34"/>
      <c r="L28" s="68"/>
      <c r="M28" s="369"/>
      <c r="N28" s="33"/>
      <c r="O28" s="34"/>
      <c r="P28" s="68"/>
      <c r="Q28" s="369"/>
      <c r="R28" s="33"/>
      <c r="S28" s="34"/>
      <c r="T28" s="68"/>
      <c r="U28" s="369"/>
      <c r="V28" s="33"/>
      <c r="W28" s="34"/>
      <c r="X28" s="68"/>
      <c r="Y28" s="369"/>
      <c r="Z28" s="33"/>
      <c r="AA28" s="34"/>
    </row>
    <row r="29" spans="1:31">
      <c r="A29" s="14"/>
      <c r="B29" s="31"/>
      <c r="C29" s="28"/>
      <c r="D29" s="67"/>
      <c r="E29" s="67"/>
      <c r="F29" s="33"/>
      <c r="G29" s="34"/>
      <c r="H29" s="67"/>
      <c r="I29" s="67"/>
      <c r="J29" s="33"/>
      <c r="K29" s="34"/>
      <c r="L29" s="67"/>
      <c r="M29" s="67"/>
      <c r="N29" s="33"/>
      <c r="O29" s="34"/>
      <c r="P29" s="67"/>
      <c r="Q29" s="67"/>
      <c r="R29" s="33"/>
      <c r="S29" s="34"/>
      <c r="T29" s="67"/>
      <c r="U29" s="67"/>
      <c r="V29" s="33"/>
      <c r="W29" s="34"/>
      <c r="X29" s="67"/>
      <c r="Y29" s="67"/>
      <c r="Z29" s="33"/>
      <c r="AA29" s="34"/>
    </row>
    <row r="30" spans="1:31">
      <c r="A30" s="61"/>
      <c r="B30" s="62" t="s">
        <v>21</v>
      </c>
      <c r="C30" s="63" t="s">
        <v>81</v>
      </c>
      <c r="D30" s="64"/>
      <c r="E30" s="366"/>
      <c r="F30" s="66"/>
      <c r="G30" s="66"/>
      <c r="H30" s="64"/>
      <c r="I30" s="366"/>
      <c r="J30" s="66"/>
      <c r="K30" s="66"/>
      <c r="L30" s="64"/>
      <c r="M30" s="366"/>
      <c r="N30" s="66"/>
      <c r="O30" s="66"/>
      <c r="P30" s="64"/>
      <c r="Q30" s="366"/>
      <c r="R30" s="66"/>
      <c r="S30" s="66"/>
      <c r="T30" s="64"/>
      <c r="U30" s="366"/>
      <c r="V30" s="66"/>
      <c r="W30" s="66"/>
      <c r="X30" s="64"/>
      <c r="Y30" s="366"/>
      <c r="Z30" s="66"/>
      <c r="AA30" s="66"/>
    </row>
    <row r="31" spans="1:31">
      <c r="A31" s="14"/>
      <c r="B31" s="31"/>
      <c r="C31" s="192" t="s">
        <v>165</v>
      </c>
      <c r="D31" s="197" t="s">
        <v>6</v>
      </c>
      <c r="E31" s="39">
        <v>2</v>
      </c>
      <c r="F31" s="40">
        <v>8707.9349999999995</v>
      </c>
      <c r="G31" s="32">
        <f t="shared" ref="G31:G38" si="33">F31*E31</f>
        <v>17415.87</v>
      </c>
      <c r="H31" s="67"/>
      <c r="I31" s="67">
        <v>0</v>
      </c>
      <c r="J31" s="32">
        <f t="shared" ref="J31:J38" si="34">$F31</f>
        <v>8707.9349999999995</v>
      </c>
      <c r="K31" s="32">
        <f t="shared" ref="K31:K38" si="35">I31*J31</f>
        <v>0</v>
      </c>
      <c r="L31" s="67"/>
      <c r="M31" s="67">
        <v>0</v>
      </c>
      <c r="N31" s="32">
        <f t="shared" ref="N31:N38" si="36">$F31</f>
        <v>8707.9349999999995</v>
      </c>
      <c r="O31" s="32">
        <f t="shared" ref="O31:O38" si="37">M31*N31</f>
        <v>0</v>
      </c>
      <c r="P31" s="67"/>
      <c r="Q31" s="67">
        <v>2</v>
      </c>
      <c r="R31" s="32">
        <f t="shared" ref="R31:R38" si="38">$F31</f>
        <v>8707.9349999999995</v>
      </c>
      <c r="S31" s="32">
        <f t="shared" ref="S31:S38" si="39">Q31*R31</f>
        <v>17415.87</v>
      </c>
      <c r="T31" s="67"/>
      <c r="U31" s="67">
        <v>0</v>
      </c>
      <c r="V31" s="32">
        <f t="shared" ref="V31:V38" si="40">$F31</f>
        <v>8707.9349999999995</v>
      </c>
      <c r="W31" s="32">
        <f t="shared" ref="W31:W38" si="41">U31*V31</f>
        <v>0</v>
      </c>
      <c r="X31" s="67"/>
      <c r="Y31" s="67">
        <v>0</v>
      </c>
      <c r="Z31" s="32">
        <f t="shared" ref="Z31:Z38" si="42">$F31</f>
        <v>8707.9349999999995</v>
      </c>
      <c r="AA31" s="32">
        <f t="shared" ref="AA31:AA38" si="43">Y31*Z31</f>
        <v>0</v>
      </c>
      <c r="AC31" s="22"/>
      <c r="AD31" s="22"/>
      <c r="AE31" s="22"/>
    </row>
    <row r="32" spans="1:31">
      <c r="A32" s="14"/>
      <c r="B32" s="31"/>
      <c r="C32" s="192" t="s">
        <v>166</v>
      </c>
      <c r="D32" s="197" t="s">
        <v>69</v>
      </c>
      <c r="E32" s="39">
        <v>10</v>
      </c>
      <c r="F32" s="40">
        <v>86.33</v>
      </c>
      <c r="G32" s="32">
        <f t="shared" si="33"/>
        <v>863.3</v>
      </c>
      <c r="H32" s="67"/>
      <c r="I32" s="67">
        <v>0</v>
      </c>
      <c r="J32" s="32">
        <f t="shared" si="34"/>
        <v>86.33</v>
      </c>
      <c r="K32" s="32">
        <f t="shared" si="35"/>
        <v>0</v>
      </c>
      <c r="L32" s="67"/>
      <c r="M32" s="67">
        <v>0</v>
      </c>
      <c r="N32" s="32">
        <f t="shared" si="36"/>
        <v>86.33</v>
      </c>
      <c r="O32" s="32">
        <f t="shared" si="37"/>
        <v>0</v>
      </c>
      <c r="P32" s="67"/>
      <c r="Q32" s="67">
        <v>6</v>
      </c>
      <c r="R32" s="32">
        <f t="shared" si="38"/>
        <v>86.33</v>
      </c>
      <c r="S32" s="32">
        <f t="shared" si="39"/>
        <v>517.98</v>
      </c>
      <c r="T32" s="67"/>
      <c r="U32" s="67">
        <v>4</v>
      </c>
      <c r="V32" s="32">
        <f t="shared" si="40"/>
        <v>86.33</v>
      </c>
      <c r="W32" s="32">
        <f t="shared" si="41"/>
        <v>345.32</v>
      </c>
      <c r="X32" s="67"/>
      <c r="Y32" s="67">
        <v>0</v>
      </c>
      <c r="Z32" s="32">
        <f t="shared" si="42"/>
        <v>86.33</v>
      </c>
      <c r="AA32" s="32">
        <f t="shared" si="43"/>
        <v>0</v>
      </c>
      <c r="AC32" s="22"/>
      <c r="AD32" s="22"/>
      <c r="AE32" s="22"/>
    </row>
    <row r="33" spans="1:31">
      <c r="A33" s="14"/>
      <c r="B33" s="31"/>
      <c r="C33" s="192" t="s">
        <v>167</v>
      </c>
      <c r="D33" s="197" t="s">
        <v>6</v>
      </c>
      <c r="E33" s="39">
        <v>1</v>
      </c>
      <c r="F33" s="40">
        <v>726.53</v>
      </c>
      <c r="G33" s="32">
        <f t="shared" si="33"/>
        <v>726.53</v>
      </c>
      <c r="H33" s="67"/>
      <c r="I33" s="67">
        <v>0</v>
      </c>
      <c r="J33" s="32">
        <f t="shared" si="34"/>
        <v>726.53</v>
      </c>
      <c r="K33" s="32">
        <f t="shared" si="35"/>
        <v>0</v>
      </c>
      <c r="L33" s="67"/>
      <c r="M33" s="67">
        <v>0</v>
      </c>
      <c r="N33" s="32">
        <f t="shared" si="36"/>
        <v>726.53</v>
      </c>
      <c r="O33" s="32">
        <f t="shared" si="37"/>
        <v>0</v>
      </c>
      <c r="P33" s="67"/>
      <c r="Q33" s="67">
        <v>1</v>
      </c>
      <c r="R33" s="32">
        <f t="shared" si="38"/>
        <v>726.53</v>
      </c>
      <c r="S33" s="32">
        <f t="shared" si="39"/>
        <v>726.53</v>
      </c>
      <c r="T33" s="67"/>
      <c r="U33" s="67">
        <v>0</v>
      </c>
      <c r="V33" s="32">
        <f t="shared" si="40"/>
        <v>726.53</v>
      </c>
      <c r="W33" s="32">
        <f t="shared" si="41"/>
        <v>0</v>
      </c>
      <c r="X33" s="67"/>
      <c r="Y33" s="67">
        <v>0</v>
      </c>
      <c r="Z33" s="32">
        <f t="shared" si="42"/>
        <v>726.53</v>
      </c>
      <c r="AA33" s="32">
        <f t="shared" si="43"/>
        <v>0</v>
      </c>
      <c r="AC33" s="22"/>
      <c r="AD33" s="22"/>
      <c r="AE33" s="22"/>
    </row>
    <row r="34" spans="1:31">
      <c r="A34" s="14"/>
      <c r="B34" s="31"/>
      <c r="C34" s="192" t="s">
        <v>168</v>
      </c>
      <c r="D34" s="197" t="s">
        <v>70</v>
      </c>
      <c r="E34" s="39">
        <v>50</v>
      </c>
      <c r="F34" s="40">
        <v>14.549999999999999</v>
      </c>
      <c r="G34" s="32">
        <f t="shared" si="33"/>
        <v>727.5</v>
      </c>
      <c r="H34" s="67"/>
      <c r="I34" s="67">
        <v>10</v>
      </c>
      <c r="J34" s="32">
        <f t="shared" si="34"/>
        <v>14.549999999999999</v>
      </c>
      <c r="K34" s="32">
        <f t="shared" si="35"/>
        <v>145.5</v>
      </c>
      <c r="L34" s="67"/>
      <c r="M34" s="67">
        <v>20</v>
      </c>
      <c r="N34" s="32">
        <f t="shared" si="36"/>
        <v>14.549999999999999</v>
      </c>
      <c r="O34" s="32">
        <f t="shared" si="37"/>
        <v>291</v>
      </c>
      <c r="P34" s="67"/>
      <c r="Q34" s="67">
        <v>10</v>
      </c>
      <c r="R34" s="32">
        <f t="shared" si="38"/>
        <v>14.549999999999999</v>
      </c>
      <c r="S34" s="32">
        <f t="shared" si="39"/>
        <v>145.5</v>
      </c>
      <c r="T34" s="67"/>
      <c r="U34" s="67">
        <v>10</v>
      </c>
      <c r="V34" s="32">
        <f t="shared" si="40"/>
        <v>14.549999999999999</v>
      </c>
      <c r="W34" s="32">
        <f t="shared" si="41"/>
        <v>145.5</v>
      </c>
      <c r="X34" s="67"/>
      <c r="Y34" s="67">
        <v>0</v>
      </c>
      <c r="Z34" s="32">
        <f t="shared" si="42"/>
        <v>14.549999999999999</v>
      </c>
      <c r="AA34" s="32">
        <f t="shared" si="43"/>
        <v>0</v>
      </c>
      <c r="AC34" s="22"/>
      <c r="AD34" s="22"/>
      <c r="AE34" s="22"/>
    </row>
    <row r="35" spans="1:31">
      <c r="A35" s="14"/>
      <c r="B35" s="31"/>
      <c r="C35" s="192" t="s">
        <v>665</v>
      </c>
      <c r="D35" s="197" t="s">
        <v>69</v>
      </c>
      <c r="E35" s="39">
        <v>2</v>
      </c>
      <c r="F35" s="40">
        <v>3841.2</v>
      </c>
      <c r="G35" s="32">
        <f t="shared" si="33"/>
        <v>7682.4</v>
      </c>
      <c r="H35" s="67"/>
      <c r="I35" s="67">
        <v>0</v>
      </c>
      <c r="J35" s="32">
        <f t="shared" si="34"/>
        <v>3841.2</v>
      </c>
      <c r="K35" s="32">
        <f t="shared" si="35"/>
        <v>0</v>
      </c>
      <c r="L35" s="67"/>
      <c r="M35" s="67">
        <v>1</v>
      </c>
      <c r="N35" s="32">
        <f t="shared" si="36"/>
        <v>3841.2</v>
      </c>
      <c r="O35" s="32">
        <f t="shared" si="37"/>
        <v>3841.2</v>
      </c>
      <c r="P35" s="67"/>
      <c r="Q35" s="67">
        <v>1</v>
      </c>
      <c r="R35" s="32">
        <f t="shared" si="38"/>
        <v>3841.2</v>
      </c>
      <c r="S35" s="32">
        <f t="shared" si="39"/>
        <v>3841.2</v>
      </c>
      <c r="T35" s="67"/>
      <c r="U35" s="67">
        <v>0</v>
      </c>
      <c r="V35" s="32">
        <f t="shared" si="40"/>
        <v>3841.2</v>
      </c>
      <c r="W35" s="32">
        <f t="shared" si="41"/>
        <v>0</v>
      </c>
      <c r="X35" s="67"/>
      <c r="Y35" s="67">
        <v>0</v>
      </c>
      <c r="Z35" s="32">
        <f t="shared" si="42"/>
        <v>3841.2</v>
      </c>
      <c r="AA35" s="32">
        <f t="shared" si="43"/>
        <v>0</v>
      </c>
      <c r="AC35" s="22"/>
      <c r="AD35" s="22"/>
      <c r="AE35" s="22"/>
    </row>
    <row r="36" spans="1:31">
      <c r="A36" s="14"/>
      <c r="B36" s="31"/>
      <c r="C36" s="192" t="s">
        <v>666</v>
      </c>
      <c r="D36" s="197" t="s">
        <v>69</v>
      </c>
      <c r="E36" s="39">
        <v>3</v>
      </c>
      <c r="F36" s="40">
        <v>834.19999999999993</v>
      </c>
      <c r="G36" s="32">
        <f t="shared" si="33"/>
        <v>2502.6</v>
      </c>
      <c r="H36" s="67"/>
      <c r="I36" s="67">
        <v>0</v>
      </c>
      <c r="J36" s="32">
        <f t="shared" si="34"/>
        <v>834.19999999999993</v>
      </c>
      <c r="K36" s="32">
        <f t="shared" si="35"/>
        <v>0</v>
      </c>
      <c r="L36" s="67"/>
      <c r="M36" s="67">
        <v>1</v>
      </c>
      <c r="N36" s="32">
        <f t="shared" si="36"/>
        <v>834.19999999999993</v>
      </c>
      <c r="O36" s="32">
        <f t="shared" si="37"/>
        <v>834.19999999999993</v>
      </c>
      <c r="P36" s="67"/>
      <c r="Q36" s="67">
        <v>1</v>
      </c>
      <c r="R36" s="32">
        <f t="shared" si="38"/>
        <v>834.19999999999993</v>
      </c>
      <c r="S36" s="32">
        <f t="shared" si="39"/>
        <v>834.19999999999993</v>
      </c>
      <c r="T36" s="67"/>
      <c r="U36" s="67">
        <v>1</v>
      </c>
      <c r="V36" s="32">
        <f t="shared" si="40"/>
        <v>834.19999999999993</v>
      </c>
      <c r="W36" s="32">
        <f t="shared" si="41"/>
        <v>834.19999999999993</v>
      </c>
      <c r="X36" s="67"/>
      <c r="Y36" s="67">
        <v>0</v>
      </c>
      <c r="Z36" s="32">
        <f t="shared" si="42"/>
        <v>834.19999999999993</v>
      </c>
      <c r="AA36" s="32">
        <f t="shared" si="43"/>
        <v>0</v>
      </c>
      <c r="AC36" s="22"/>
      <c r="AD36" s="22"/>
      <c r="AE36" s="22"/>
    </row>
    <row r="37" spans="1:31">
      <c r="A37" s="14"/>
      <c r="B37" s="31"/>
      <c r="C37" s="192" t="s">
        <v>667</v>
      </c>
      <c r="D37" s="197" t="s">
        <v>69</v>
      </c>
      <c r="E37" s="39">
        <v>1</v>
      </c>
      <c r="F37" s="40">
        <v>960.3</v>
      </c>
      <c r="G37" s="32">
        <f t="shared" si="33"/>
        <v>960.3</v>
      </c>
      <c r="H37" s="67"/>
      <c r="I37" s="67">
        <v>0</v>
      </c>
      <c r="J37" s="32">
        <f t="shared" si="34"/>
        <v>960.3</v>
      </c>
      <c r="K37" s="32">
        <f t="shared" si="35"/>
        <v>0</v>
      </c>
      <c r="L37" s="67"/>
      <c r="M37" s="67">
        <v>0</v>
      </c>
      <c r="N37" s="32">
        <f t="shared" si="36"/>
        <v>960.3</v>
      </c>
      <c r="O37" s="32">
        <f t="shared" si="37"/>
        <v>0</v>
      </c>
      <c r="P37" s="67"/>
      <c r="Q37" s="67">
        <v>1</v>
      </c>
      <c r="R37" s="32">
        <f t="shared" si="38"/>
        <v>960.3</v>
      </c>
      <c r="S37" s="32">
        <f t="shared" si="39"/>
        <v>960.3</v>
      </c>
      <c r="T37" s="67"/>
      <c r="U37" s="67">
        <v>0</v>
      </c>
      <c r="V37" s="32">
        <f t="shared" si="40"/>
        <v>960.3</v>
      </c>
      <c r="W37" s="32">
        <f t="shared" si="41"/>
        <v>0</v>
      </c>
      <c r="X37" s="67"/>
      <c r="Y37" s="67">
        <v>0</v>
      </c>
      <c r="Z37" s="32">
        <f t="shared" si="42"/>
        <v>960.3</v>
      </c>
      <c r="AA37" s="32">
        <f t="shared" si="43"/>
        <v>0</v>
      </c>
      <c r="AC37" s="22"/>
      <c r="AD37" s="22"/>
      <c r="AE37" s="22"/>
    </row>
    <row r="38" spans="1:31">
      <c r="A38" s="14"/>
      <c r="B38" s="31"/>
      <c r="C38" s="192" t="s">
        <v>668</v>
      </c>
      <c r="D38" s="197" t="s">
        <v>70</v>
      </c>
      <c r="E38" s="39">
        <v>147</v>
      </c>
      <c r="F38" s="40">
        <v>105.73</v>
      </c>
      <c r="G38" s="32">
        <f t="shared" si="33"/>
        <v>15542.310000000001</v>
      </c>
      <c r="H38" s="67"/>
      <c r="I38" s="67">
        <v>0</v>
      </c>
      <c r="J38" s="32">
        <f t="shared" si="34"/>
        <v>105.73</v>
      </c>
      <c r="K38" s="32">
        <f t="shared" si="35"/>
        <v>0</v>
      </c>
      <c r="L38" s="67"/>
      <c r="M38" s="67">
        <v>0</v>
      </c>
      <c r="N38" s="32">
        <f t="shared" si="36"/>
        <v>105.73</v>
      </c>
      <c r="O38" s="32">
        <f t="shared" si="37"/>
        <v>0</v>
      </c>
      <c r="P38" s="67"/>
      <c r="Q38" s="67">
        <v>95</v>
      </c>
      <c r="R38" s="32">
        <f t="shared" si="38"/>
        <v>105.73</v>
      </c>
      <c r="S38" s="32">
        <f t="shared" si="39"/>
        <v>10044.35</v>
      </c>
      <c r="T38" s="67"/>
      <c r="U38" s="67">
        <v>52</v>
      </c>
      <c r="V38" s="32">
        <f t="shared" si="40"/>
        <v>105.73</v>
      </c>
      <c r="W38" s="32">
        <f t="shared" si="41"/>
        <v>5497.96</v>
      </c>
      <c r="X38" s="67"/>
      <c r="Y38" s="67">
        <v>0</v>
      </c>
      <c r="Z38" s="32">
        <f t="shared" si="42"/>
        <v>105.73</v>
      </c>
      <c r="AA38" s="32">
        <f t="shared" si="43"/>
        <v>0</v>
      </c>
      <c r="AC38" s="22"/>
      <c r="AD38" s="22"/>
      <c r="AE38" s="22"/>
    </row>
    <row r="39" spans="1:31">
      <c r="A39" s="14"/>
      <c r="B39" s="31"/>
      <c r="C39" s="28"/>
      <c r="D39" s="67"/>
      <c r="E39" s="67"/>
      <c r="F39" s="32"/>
      <c r="G39" s="32"/>
      <c r="H39" s="67"/>
      <c r="I39" s="67"/>
      <c r="J39" s="32"/>
      <c r="K39" s="32"/>
      <c r="L39" s="67"/>
      <c r="M39" s="67"/>
      <c r="N39" s="32"/>
      <c r="O39" s="32"/>
      <c r="P39" s="67"/>
      <c r="Q39" s="67"/>
      <c r="R39" s="32"/>
      <c r="S39" s="32"/>
      <c r="T39" s="67"/>
      <c r="U39" s="67"/>
      <c r="V39" s="32"/>
      <c r="W39" s="32"/>
      <c r="X39" s="67"/>
      <c r="Y39" s="67"/>
      <c r="Z39" s="32"/>
      <c r="AA39" s="32"/>
      <c r="AC39" s="22"/>
      <c r="AD39" s="22"/>
      <c r="AE39" s="22"/>
    </row>
    <row r="40" spans="1:31">
      <c r="A40" s="35"/>
      <c r="B40" s="27"/>
      <c r="C40" s="38" t="s">
        <v>90</v>
      </c>
      <c r="D40" s="68"/>
      <c r="E40" s="369"/>
      <c r="F40" s="33" t="s">
        <v>10</v>
      </c>
      <c r="G40" s="34">
        <f>SUM(G31:G39)</f>
        <v>46420.81</v>
      </c>
      <c r="H40" s="68"/>
      <c r="I40" s="369"/>
      <c r="J40" s="33" t="s">
        <v>10</v>
      </c>
      <c r="K40" s="34">
        <f>SUM(K30:K39)</f>
        <v>145.5</v>
      </c>
      <c r="L40" s="68"/>
      <c r="M40" s="369"/>
      <c r="N40" s="33" t="s">
        <v>10</v>
      </c>
      <c r="O40" s="34">
        <f>SUM(O30:O39)</f>
        <v>4966.3999999999996</v>
      </c>
      <c r="P40" s="68"/>
      <c r="Q40" s="369"/>
      <c r="R40" s="33" t="s">
        <v>10</v>
      </c>
      <c r="S40" s="34">
        <f>SUM(S30:S39)</f>
        <v>34485.93</v>
      </c>
      <c r="T40" s="68"/>
      <c r="U40" s="369"/>
      <c r="V40" s="33" t="s">
        <v>10</v>
      </c>
      <c r="W40" s="34">
        <f>SUM(W30:W39)</f>
        <v>6822.98</v>
      </c>
      <c r="X40" s="68"/>
      <c r="Y40" s="369"/>
      <c r="Z40" s="33" t="s">
        <v>10</v>
      </c>
      <c r="AA40" s="34">
        <f>SUM(AA30:AA39)</f>
        <v>0</v>
      </c>
    </row>
    <row r="41" spans="1:31">
      <c r="A41" s="35"/>
      <c r="B41" s="27"/>
      <c r="C41" s="36"/>
      <c r="D41" s="68"/>
      <c r="E41" s="369"/>
      <c r="F41" s="33"/>
      <c r="G41" s="34"/>
      <c r="H41" s="68"/>
      <c r="I41" s="369"/>
      <c r="J41" s="33"/>
      <c r="K41" s="34"/>
      <c r="L41" s="68"/>
      <c r="M41" s="369"/>
      <c r="N41" s="33"/>
      <c r="O41" s="34"/>
      <c r="P41" s="68"/>
      <c r="Q41" s="369"/>
      <c r="R41" s="33"/>
      <c r="S41" s="34"/>
      <c r="T41" s="68"/>
      <c r="U41" s="369"/>
      <c r="V41" s="33"/>
      <c r="W41" s="34"/>
      <c r="X41" s="68"/>
      <c r="Y41" s="369"/>
      <c r="Z41" s="33"/>
      <c r="AA41" s="34"/>
    </row>
    <row r="42" spans="1:31">
      <c r="A42" s="14"/>
      <c r="B42" s="31"/>
      <c r="C42" s="38"/>
      <c r="D42" s="69"/>
      <c r="E42" s="369"/>
      <c r="F42" s="30"/>
      <c r="G42" s="34"/>
      <c r="H42" s="69"/>
      <c r="I42" s="369"/>
      <c r="J42" s="30"/>
      <c r="K42" s="34"/>
      <c r="L42" s="69"/>
      <c r="M42" s="369"/>
      <c r="N42" s="30"/>
      <c r="O42" s="34"/>
      <c r="P42" s="69"/>
      <c r="Q42" s="369"/>
      <c r="R42" s="30"/>
      <c r="S42" s="34"/>
      <c r="T42" s="69"/>
      <c r="U42" s="369"/>
      <c r="V42" s="30"/>
      <c r="W42" s="34"/>
      <c r="X42" s="69"/>
      <c r="Y42" s="369"/>
      <c r="Z42" s="30"/>
      <c r="AA42" s="34"/>
    </row>
    <row r="43" spans="1:31">
      <c r="A43" s="14"/>
      <c r="B43" s="31"/>
      <c r="C43" s="38"/>
      <c r="D43" s="69"/>
      <c r="E43" s="37"/>
      <c r="F43" s="30"/>
      <c r="G43" s="34"/>
      <c r="H43" s="69"/>
      <c r="I43" s="37"/>
      <c r="J43" s="30"/>
      <c r="K43" s="34"/>
      <c r="M43" s="37"/>
      <c r="N43" s="30"/>
      <c r="O43" s="34"/>
      <c r="Q43" s="37"/>
      <c r="R43" s="30"/>
      <c r="S43" s="34"/>
      <c r="U43" s="37"/>
      <c r="V43" s="30"/>
      <c r="W43" s="34"/>
      <c r="Y43" s="37"/>
      <c r="Z43" s="30"/>
      <c r="AA43" s="34"/>
    </row>
    <row r="44" spans="1:31" ht="6" customHeight="1">
      <c r="A44" s="70"/>
      <c r="B44" s="41"/>
      <c r="C44" s="42"/>
      <c r="D44" s="41"/>
      <c r="E44" s="41"/>
      <c r="F44" s="44"/>
      <c r="G44" s="44"/>
      <c r="H44" s="41"/>
      <c r="I44" s="43"/>
      <c r="J44" s="44"/>
      <c r="K44" s="44"/>
      <c r="L44" s="41"/>
      <c r="M44" s="43"/>
      <c r="N44" s="44"/>
      <c r="O44" s="44"/>
      <c r="P44" s="41"/>
      <c r="Q44" s="43"/>
      <c r="R44" s="44"/>
      <c r="S44" s="44"/>
      <c r="T44" s="41"/>
      <c r="U44" s="43"/>
      <c r="V44" s="44"/>
      <c r="W44" s="44"/>
      <c r="X44" s="41"/>
      <c r="Y44" s="43"/>
      <c r="Z44" s="44"/>
      <c r="AA44" s="44"/>
    </row>
    <row r="45" spans="1:31" s="56" customFormat="1">
      <c r="A45" s="71"/>
      <c r="B45" s="72"/>
      <c r="C45" s="53" t="s">
        <v>7</v>
      </c>
      <c r="D45" s="52"/>
      <c r="E45" s="52"/>
      <c r="F45" s="55"/>
      <c r="G45" s="55">
        <f>G27+G19+G12+G40</f>
        <v>179999.995</v>
      </c>
      <c r="H45" s="52"/>
      <c r="I45" s="54"/>
      <c r="J45" s="55"/>
      <c r="K45" s="55">
        <f>K27+K19+K12+K40</f>
        <v>25573.08</v>
      </c>
      <c r="L45" s="52"/>
      <c r="M45" s="54"/>
      <c r="N45" s="55"/>
      <c r="O45" s="55">
        <f>O27+O19+O12+O40</f>
        <v>55676.06</v>
      </c>
      <c r="P45" s="52"/>
      <c r="Q45" s="54"/>
      <c r="R45" s="55"/>
      <c r="S45" s="55">
        <f>S27+S19+S12+S40</f>
        <v>47674.05</v>
      </c>
      <c r="T45" s="52"/>
      <c r="U45" s="54"/>
      <c r="V45" s="55"/>
      <c r="W45" s="55">
        <f>W27+W19+W12+W40</f>
        <v>50698.505000000005</v>
      </c>
      <c r="X45" s="52"/>
      <c r="Y45" s="54"/>
      <c r="Z45" s="55"/>
      <c r="AA45" s="55">
        <f>AA27+AA19+AA12+AA40</f>
        <v>378.29999999999995</v>
      </c>
    </row>
    <row r="46" spans="1:31" s="56" customFormat="1">
      <c r="A46" s="71"/>
      <c r="B46" s="72"/>
      <c r="C46" s="53" t="s">
        <v>8</v>
      </c>
      <c r="D46" s="52"/>
      <c r="E46" s="52"/>
      <c r="F46" s="55"/>
      <c r="G46" s="55">
        <f>G45*0.2</f>
        <v>35999.999000000003</v>
      </c>
      <c r="H46" s="52"/>
      <c r="I46" s="54"/>
      <c r="J46" s="55"/>
      <c r="K46" s="55">
        <f>K45*0.2</f>
        <v>5114.6160000000009</v>
      </c>
      <c r="L46" s="52"/>
      <c r="M46" s="54"/>
      <c r="N46" s="55"/>
      <c r="O46" s="55">
        <f>O45*0.2</f>
        <v>11135.212</v>
      </c>
      <c r="P46" s="52"/>
      <c r="Q46" s="54"/>
      <c r="R46" s="55"/>
      <c r="S46" s="55">
        <f>S45*0.2</f>
        <v>9534.8100000000013</v>
      </c>
      <c r="T46" s="52"/>
      <c r="U46" s="54"/>
      <c r="V46" s="55"/>
      <c r="W46" s="55">
        <f>W45*0.2</f>
        <v>10139.701000000001</v>
      </c>
      <c r="X46" s="52"/>
      <c r="Y46" s="54"/>
      <c r="Z46" s="55"/>
      <c r="AA46" s="55">
        <f>AA45*0.2</f>
        <v>75.66</v>
      </c>
    </row>
    <row r="47" spans="1:31" s="56" customFormat="1">
      <c r="A47" s="71"/>
      <c r="B47" s="72"/>
      <c r="C47" s="53" t="s">
        <v>9</v>
      </c>
      <c r="D47" s="52"/>
      <c r="E47" s="52"/>
      <c r="F47" s="55"/>
      <c r="G47" s="55">
        <f>G46+G45</f>
        <v>215999.99400000001</v>
      </c>
      <c r="H47" s="52"/>
      <c r="I47" s="54"/>
      <c r="J47" s="55"/>
      <c r="K47" s="55">
        <f>K46+K45</f>
        <v>30687.696000000004</v>
      </c>
      <c r="L47" s="52"/>
      <c r="M47" s="54"/>
      <c r="N47" s="55"/>
      <c r="O47" s="55">
        <f>O46+O45</f>
        <v>66811.271999999997</v>
      </c>
      <c r="P47" s="52"/>
      <c r="Q47" s="54"/>
      <c r="R47" s="55"/>
      <c r="S47" s="55">
        <f>S46+S45</f>
        <v>57208.86</v>
      </c>
      <c r="T47" s="52"/>
      <c r="U47" s="54"/>
      <c r="V47" s="55"/>
      <c r="W47" s="55">
        <f>W46+W45</f>
        <v>60838.206000000006</v>
      </c>
      <c r="X47" s="52"/>
      <c r="Y47" s="54"/>
      <c r="Z47" s="55"/>
      <c r="AA47" s="55">
        <f>AA46+AA45</f>
        <v>453.95999999999992</v>
      </c>
    </row>
    <row r="48" spans="1:31" ht="6.6" customHeight="1">
      <c r="A48" s="73"/>
      <c r="B48" s="74"/>
      <c r="C48" s="45"/>
      <c r="D48" s="46"/>
      <c r="E48" s="51"/>
      <c r="F48" s="48"/>
      <c r="G48" s="48"/>
      <c r="H48" s="46"/>
      <c r="I48" s="47"/>
      <c r="J48" s="48"/>
      <c r="K48" s="48"/>
      <c r="L48" s="49"/>
      <c r="M48" s="50"/>
      <c r="N48" s="48"/>
      <c r="O48" s="48"/>
      <c r="P48" s="49"/>
      <c r="Q48" s="50"/>
      <c r="R48" s="48"/>
      <c r="S48" s="48"/>
      <c r="T48" s="49"/>
      <c r="U48" s="50"/>
      <c r="V48" s="48"/>
      <c r="W48" s="48"/>
      <c r="X48" s="49"/>
      <c r="Y48" s="50"/>
      <c r="Z48" s="48"/>
      <c r="AA48" s="48"/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A69"/>
  <sheetViews>
    <sheetView showGridLines="0" view="pageBreakPreview" zoomScale="70" zoomScaleNormal="85" zoomScaleSheetLayoutView="70" workbookViewId="0">
      <pane ySplit="5" topLeftCell="A6" activePane="bottomLeft" state="frozen"/>
      <selection activeCell="C15" sqref="C15:I15"/>
      <selection pane="bottomLeft" activeCell="AF59" sqref="AF59"/>
    </sheetView>
  </sheetViews>
  <sheetFormatPr baseColWidth="10" defaultColWidth="11.44140625" defaultRowHeight="14.4"/>
  <cols>
    <col min="1" max="1" width="3.33203125" style="2" customWidth="1"/>
    <col min="2" max="2" width="2.6640625" style="3" bestFit="1" customWidth="1"/>
    <col min="3" max="3" width="55.6640625" style="24" customWidth="1"/>
    <col min="4" max="4" width="6.6640625" style="1" bestFit="1" customWidth="1"/>
    <col min="5" max="5" width="10" style="1" bestFit="1" customWidth="1"/>
    <col min="6" max="6" width="12.6640625" style="1" bestFit="1" customWidth="1"/>
    <col min="7" max="7" width="14.5546875" style="1" bestFit="1" customWidth="1"/>
    <col min="8" max="8" width="2.6640625" style="1" customWidth="1"/>
    <col min="9" max="9" width="7.5546875" style="1" customWidth="1"/>
    <col min="10" max="10" width="12" style="1" customWidth="1"/>
    <col min="11" max="11" width="14.5546875" style="1" customWidth="1"/>
    <col min="12" max="12" width="2.6640625" style="1" customWidth="1"/>
    <col min="13" max="13" width="7.5546875" style="1" customWidth="1"/>
    <col min="14" max="14" width="12" style="1" customWidth="1"/>
    <col min="15" max="15" width="14.44140625" style="1" customWidth="1"/>
    <col min="16" max="16" width="2.6640625" style="1" customWidth="1"/>
    <col min="17" max="17" width="7.5546875" style="1" customWidth="1"/>
    <col min="18" max="18" width="12" style="1" customWidth="1"/>
    <col min="19" max="19" width="14.44140625" style="1" customWidth="1"/>
    <col min="20" max="20" width="2.6640625" style="1" customWidth="1"/>
    <col min="21" max="21" width="7.5546875" style="1" customWidth="1"/>
    <col min="22" max="22" width="12" style="1" customWidth="1"/>
    <col min="23" max="23" width="14.44140625" style="1" customWidth="1"/>
    <col min="24" max="24" width="2.6640625" style="1" customWidth="1"/>
    <col min="25" max="25" width="7.5546875" style="1" customWidth="1"/>
    <col min="26" max="26" width="12" style="1" customWidth="1"/>
    <col min="27" max="27" width="14.44140625" style="1" customWidth="1"/>
    <col min="28" max="28" width="4.6640625" style="1" customWidth="1"/>
    <col min="29" max="16384" width="11.44140625" style="1"/>
  </cols>
  <sheetData>
    <row r="1" spans="1:27" ht="23.25" customHeight="1">
      <c r="A1" s="566" t="s">
        <v>39</v>
      </c>
      <c r="B1" s="567"/>
      <c r="C1" s="567"/>
      <c r="D1" s="567"/>
      <c r="E1" s="567"/>
      <c r="F1" s="567"/>
      <c r="G1" s="567"/>
      <c r="H1" s="567"/>
      <c r="I1" s="567"/>
      <c r="J1" s="567"/>
      <c r="K1" s="567"/>
      <c r="L1" s="567"/>
      <c r="M1" s="567"/>
      <c r="N1" s="567"/>
      <c r="O1" s="567"/>
      <c r="P1" s="567"/>
      <c r="Q1" s="567"/>
      <c r="R1" s="567"/>
      <c r="S1" s="567"/>
      <c r="T1" s="567"/>
      <c r="U1" s="567"/>
      <c r="V1" s="567"/>
      <c r="W1" s="567"/>
      <c r="X1" s="567"/>
      <c r="Y1" s="567"/>
      <c r="Z1" s="567"/>
      <c r="AA1" s="568"/>
    </row>
    <row r="2" spans="1:27" ht="8.4" customHeight="1">
      <c r="A2" s="15"/>
      <c r="C2" s="3"/>
      <c r="D2" s="3"/>
      <c r="E2" s="3"/>
      <c r="F2" s="3"/>
      <c r="G2" s="2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23"/>
    </row>
    <row r="3" spans="1:27" ht="19.5" customHeight="1">
      <c r="A3" s="16"/>
      <c r="C3" s="203" t="str">
        <f>'Page de garde'!C15</f>
        <v>IND 00 du 10/06/2025</v>
      </c>
      <c r="E3" s="569" t="s">
        <v>12</v>
      </c>
      <c r="F3" s="570"/>
      <c r="G3" s="571"/>
      <c r="I3" s="572" t="s">
        <v>30</v>
      </c>
      <c r="J3" s="573"/>
      <c r="K3" s="574"/>
      <c r="M3" s="572" t="s">
        <v>31</v>
      </c>
      <c r="N3" s="573"/>
      <c r="O3" s="574"/>
      <c r="Q3" s="572" t="s">
        <v>33</v>
      </c>
      <c r="R3" s="573"/>
      <c r="S3" s="574"/>
      <c r="U3" s="572" t="s">
        <v>34</v>
      </c>
      <c r="V3" s="573"/>
      <c r="W3" s="574"/>
      <c r="Y3" s="572" t="s">
        <v>35</v>
      </c>
      <c r="Z3" s="573"/>
      <c r="AA3" s="574"/>
    </row>
    <row r="4" spans="1:27" ht="15.6">
      <c r="A4" s="16"/>
      <c r="E4" s="76"/>
      <c r="F4" s="77"/>
      <c r="G4" s="78" t="s">
        <v>11</v>
      </c>
      <c r="I4" s="57"/>
      <c r="J4" s="58"/>
      <c r="K4" s="59" t="s">
        <v>11</v>
      </c>
      <c r="M4" s="60"/>
      <c r="N4" s="58"/>
      <c r="O4" s="59" t="s">
        <v>11</v>
      </c>
      <c r="Q4" s="60"/>
      <c r="R4" s="58"/>
      <c r="S4" s="59" t="s">
        <v>11</v>
      </c>
      <c r="U4" s="60"/>
      <c r="V4" s="58"/>
      <c r="W4" s="59" t="s">
        <v>11</v>
      </c>
      <c r="Y4" s="60"/>
      <c r="Z4" s="58"/>
      <c r="AA4" s="59" t="s">
        <v>11</v>
      </c>
    </row>
    <row r="5" spans="1:27" s="17" customFormat="1" ht="24">
      <c r="A5" s="565" t="s">
        <v>1</v>
      </c>
      <c r="B5" s="565"/>
      <c r="C5" s="25" t="s">
        <v>2</v>
      </c>
      <c r="D5" s="18" t="s">
        <v>0</v>
      </c>
      <c r="E5" s="79" t="s">
        <v>3</v>
      </c>
      <c r="F5" s="79" t="s">
        <v>4</v>
      </c>
      <c r="G5" s="79" t="s">
        <v>5</v>
      </c>
      <c r="H5" s="18"/>
      <c r="I5" s="19" t="s">
        <v>3</v>
      </c>
      <c r="J5" s="19" t="s">
        <v>4</v>
      </c>
      <c r="K5" s="19" t="s">
        <v>5</v>
      </c>
      <c r="L5" s="20"/>
      <c r="M5" s="19" t="s">
        <v>3</v>
      </c>
      <c r="N5" s="19" t="s">
        <v>4</v>
      </c>
      <c r="O5" s="19" t="s">
        <v>5</v>
      </c>
      <c r="P5" s="20"/>
      <c r="Q5" s="19" t="s">
        <v>3</v>
      </c>
      <c r="R5" s="19" t="s">
        <v>4</v>
      </c>
      <c r="S5" s="19" t="s">
        <v>5</v>
      </c>
      <c r="T5" s="20"/>
      <c r="U5" s="19" t="s">
        <v>3</v>
      </c>
      <c r="V5" s="19" t="s">
        <v>4</v>
      </c>
      <c r="W5" s="19" t="s">
        <v>5</v>
      </c>
      <c r="X5" s="20"/>
      <c r="Y5" s="19" t="s">
        <v>3</v>
      </c>
      <c r="Z5" s="19" t="s">
        <v>4</v>
      </c>
      <c r="AA5" s="19" t="s">
        <v>5</v>
      </c>
    </row>
    <row r="6" spans="1:27">
      <c r="A6" s="61"/>
      <c r="B6" s="62" t="s">
        <v>19</v>
      </c>
      <c r="C6" s="63" t="s">
        <v>176</v>
      </c>
      <c r="D6" s="64"/>
      <c r="E6" s="366"/>
      <c r="F6" s="66"/>
      <c r="G6" s="66"/>
      <c r="H6" s="64"/>
      <c r="I6" s="366"/>
      <c r="J6" s="66"/>
      <c r="K6" s="66"/>
      <c r="L6" s="64"/>
      <c r="M6" s="366"/>
      <c r="N6" s="66"/>
      <c r="O6" s="66"/>
      <c r="P6" s="64"/>
      <c r="Q6" s="366"/>
      <c r="R6" s="66"/>
      <c r="S6" s="66"/>
      <c r="T6" s="64"/>
      <c r="U6" s="366"/>
      <c r="V6" s="66"/>
      <c r="W6" s="66"/>
      <c r="X6" s="64"/>
      <c r="Y6" s="366"/>
      <c r="Z6" s="66"/>
      <c r="AA6" s="66"/>
    </row>
    <row r="7" spans="1:27">
      <c r="A7" s="14"/>
      <c r="B7" s="31"/>
      <c r="C7" s="28" t="s">
        <v>610</v>
      </c>
      <c r="D7" s="67" t="s">
        <v>69</v>
      </c>
      <c r="E7" s="29">
        <v>5</v>
      </c>
      <c r="F7" s="32">
        <v>2082.3000000000002</v>
      </c>
      <c r="G7" s="32">
        <f t="shared" ref="G7:G51" si="0">K7+O7+S7+W7+AA7</f>
        <v>10411.5</v>
      </c>
      <c r="H7" s="67"/>
      <c r="I7" s="67">
        <v>5</v>
      </c>
      <c r="J7" s="32">
        <f>$F7</f>
        <v>2082.3000000000002</v>
      </c>
      <c r="K7" s="32">
        <f>I7*J7</f>
        <v>10411.5</v>
      </c>
      <c r="L7" s="67"/>
      <c r="M7" s="67"/>
      <c r="N7" s="32">
        <f t="shared" ref="N7:N56" si="1">$F7</f>
        <v>2082.3000000000002</v>
      </c>
      <c r="O7" s="32">
        <f t="shared" ref="O7:O56" si="2">M7*N7</f>
        <v>0</v>
      </c>
      <c r="P7" s="67"/>
      <c r="Q7" s="67"/>
      <c r="R7" s="32">
        <f t="shared" ref="R7:R56" si="3">$F7</f>
        <v>2082.3000000000002</v>
      </c>
      <c r="S7" s="32">
        <f t="shared" ref="S7:S56" si="4">Q7*R7</f>
        <v>0</v>
      </c>
      <c r="T7" s="67"/>
      <c r="U7" s="67"/>
      <c r="V7" s="32">
        <f t="shared" ref="V7:V56" si="5">$F7</f>
        <v>2082.3000000000002</v>
      </c>
      <c r="W7" s="32">
        <f t="shared" ref="W7:W56" si="6">U7*V7</f>
        <v>0</v>
      </c>
      <c r="X7" s="67"/>
      <c r="Y7" s="67"/>
      <c r="Z7" s="32">
        <f t="shared" ref="Z7:Z56" si="7">$F7</f>
        <v>2082.3000000000002</v>
      </c>
      <c r="AA7" s="32">
        <f t="shared" ref="AA7:AA56" si="8">Y7*Z7</f>
        <v>0</v>
      </c>
    </row>
    <row r="8" spans="1:27">
      <c r="A8" s="14"/>
      <c r="B8" s="31"/>
      <c r="C8" s="28" t="s">
        <v>611</v>
      </c>
      <c r="D8" s="67" t="s">
        <v>69</v>
      </c>
      <c r="E8" s="29">
        <v>3</v>
      </c>
      <c r="F8" s="32">
        <v>1859.8</v>
      </c>
      <c r="G8" s="32">
        <f t="shared" si="0"/>
        <v>5579.4</v>
      </c>
      <c r="H8" s="67"/>
      <c r="I8" s="67">
        <v>1</v>
      </c>
      <c r="J8" s="32">
        <f t="shared" ref="J8:J51" si="9">$F8</f>
        <v>1859.8</v>
      </c>
      <c r="K8" s="32">
        <f t="shared" ref="K8:K51" si="10">I8*J8</f>
        <v>1859.8</v>
      </c>
      <c r="L8" s="67"/>
      <c r="M8" s="67">
        <v>2</v>
      </c>
      <c r="N8" s="32">
        <f t="shared" si="1"/>
        <v>1859.8</v>
      </c>
      <c r="O8" s="32">
        <f t="shared" si="2"/>
        <v>3719.6</v>
      </c>
      <c r="P8" s="67"/>
      <c r="Q8" s="67"/>
      <c r="R8" s="32">
        <f t="shared" si="3"/>
        <v>1859.8</v>
      </c>
      <c r="S8" s="32">
        <f t="shared" si="4"/>
        <v>0</v>
      </c>
      <c r="T8" s="67"/>
      <c r="U8" s="67"/>
      <c r="V8" s="32">
        <f t="shared" si="5"/>
        <v>1859.8</v>
      </c>
      <c r="W8" s="32">
        <f t="shared" si="6"/>
        <v>0</v>
      </c>
      <c r="X8" s="67"/>
      <c r="Y8" s="67"/>
      <c r="Z8" s="32">
        <f t="shared" si="7"/>
        <v>1859.8</v>
      </c>
      <c r="AA8" s="32">
        <f t="shared" si="8"/>
        <v>0</v>
      </c>
    </row>
    <row r="9" spans="1:27">
      <c r="A9" s="14"/>
      <c r="B9" s="31"/>
      <c r="C9" s="28" t="s">
        <v>612</v>
      </c>
      <c r="D9" s="67" t="s">
        <v>69</v>
      </c>
      <c r="E9" s="29">
        <v>2</v>
      </c>
      <c r="F9" s="32">
        <v>3572.7</v>
      </c>
      <c r="G9" s="32">
        <f t="shared" si="0"/>
        <v>7145.4</v>
      </c>
      <c r="H9" s="67"/>
      <c r="I9" s="67">
        <v>2</v>
      </c>
      <c r="J9" s="32">
        <f t="shared" si="9"/>
        <v>3572.7</v>
      </c>
      <c r="K9" s="32">
        <f t="shared" si="10"/>
        <v>7145.4</v>
      </c>
      <c r="L9" s="67"/>
      <c r="M9" s="67"/>
      <c r="N9" s="32">
        <f t="shared" si="1"/>
        <v>3572.7</v>
      </c>
      <c r="O9" s="32">
        <f t="shared" si="2"/>
        <v>0</v>
      </c>
      <c r="P9" s="67"/>
      <c r="Q9" s="67"/>
      <c r="R9" s="32">
        <f t="shared" si="3"/>
        <v>3572.7</v>
      </c>
      <c r="S9" s="32">
        <f t="shared" si="4"/>
        <v>0</v>
      </c>
      <c r="T9" s="67"/>
      <c r="U9" s="67"/>
      <c r="V9" s="32">
        <f t="shared" si="5"/>
        <v>3572.7</v>
      </c>
      <c r="W9" s="32">
        <f t="shared" si="6"/>
        <v>0</v>
      </c>
      <c r="X9" s="67"/>
      <c r="Y9" s="67"/>
      <c r="Z9" s="32">
        <f t="shared" si="7"/>
        <v>3572.7</v>
      </c>
      <c r="AA9" s="32">
        <f t="shared" si="8"/>
        <v>0</v>
      </c>
    </row>
    <row r="10" spans="1:27">
      <c r="A10" s="14"/>
      <c r="B10" s="31"/>
      <c r="C10" s="28" t="s">
        <v>613</v>
      </c>
      <c r="D10" s="67" t="s">
        <v>69</v>
      </c>
      <c r="E10" s="29">
        <v>1</v>
      </c>
      <c r="F10" s="32">
        <v>1755.2</v>
      </c>
      <c r="G10" s="32">
        <f t="shared" si="0"/>
        <v>1755.2</v>
      </c>
      <c r="H10" s="67"/>
      <c r="I10" s="67">
        <v>1</v>
      </c>
      <c r="J10" s="32">
        <f t="shared" si="9"/>
        <v>1755.2</v>
      </c>
      <c r="K10" s="32">
        <f t="shared" si="10"/>
        <v>1755.2</v>
      </c>
      <c r="L10" s="67"/>
      <c r="M10" s="67"/>
      <c r="N10" s="32">
        <f t="shared" si="1"/>
        <v>1755.2</v>
      </c>
      <c r="O10" s="32">
        <f t="shared" si="2"/>
        <v>0</v>
      </c>
      <c r="P10" s="67"/>
      <c r="Q10" s="67"/>
      <c r="R10" s="32">
        <f t="shared" si="3"/>
        <v>1755.2</v>
      </c>
      <c r="S10" s="32">
        <f t="shared" si="4"/>
        <v>0</v>
      </c>
      <c r="T10" s="67"/>
      <c r="U10" s="67"/>
      <c r="V10" s="32">
        <f t="shared" si="5"/>
        <v>1755.2</v>
      </c>
      <c r="W10" s="32">
        <f t="shared" si="6"/>
        <v>0</v>
      </c>
      <c r="X10" s="67"/>
      <c r="Y10" s="67"/>
      <c r="Z10" s="32">
        <f t="shared" si="7"/>
        <v>1755.2</v>
      </c>
      <c r="AA10" s="32">
        <f t="shared" si="8"/>
        <v>0</v>
      </c>
    </row>
    <row r="11" spans="1:27">
      <c r="A11" s="14"/>
      <c r="B11" s="31"/>
      <c r="C11" s="28" t="s">
        <v>614</v>
      </c>
      <c r="D11" s="67" t="s">
        <v>69</v>
      </c>
      <c r="E11" s="29">
        <v>1</v>
      </c>
      <c r="F11" s="32">
        <v>1907.7</v>
      </c>
      <c r="G11" s="32">
        <f t="shared" si="0"/>
        <v>1907.7</v>
      </c>
      <c r="H11" s="67"/>
      <c r="I11" s="67"/>
      <c r="J11" s="32">
        <f t="shared" si="9"/>
        <v>1907.7</v>
      </c>
      <c r="K11" s="32">
        <f t="shared" si="10"/>
        <v>0</v>
      </c>
      <c r="L11" s="67"/>
      <c r="M11" s="67">
        <v>1</v>
      </c>
      <c r="N11" s="32">
        <f t="shared" si="1"/>
        <v>1907.7</v>
      </c>
      <c r="O11" s="32">
        <f t="shared" si="2"/>
        <v>1907.7</v>
      </c>
      <c r="P11" s="67"/>
      <c r="Q11" s="67"/>
      <c r="R11" s="32">
        <f t="shared" si="3"/>
        <v>1907.7</v>
      </c>
      <c r="S11" s="32">
        <f t="shared" si="4"/>
        <v>0</v>
      </c>
      <c r="T11" s="67"/>
      <c r="U11" s="67"/>
      <c r="V11" s="32">
        <f t="shared" si="5"/>
        <v>1907.7</v>
      </c>
      <c r="W11" s="32">
        <f t="shared" si="6"/>
        <v>0</v>
      </c>
      <c r="X11" s="67"/>
      <c r="Y11" s="67"/>
      <c r="Z11" s="32">
        <f t="shared" si="7"/>
        <v>1907.7</v>
      </c>
      <c r="AA11" s="32">
        <f t="shared" si="8"/>
        <v>0</v>
      </c>
    </row>
    <row r="12" spans="1:27">
      <c r="A12" s="14"/>
      <c r="B12" s="31"/>
      <c r="C12" s="28" t="s">
        <v>615</v>
      </c>
      <c r="D12" s="67" t="s">
        <v>69</v>
      </c>
      <c r="E12" s="29">
        <v>3</v>
      </c>
      <c r="F12" s="32">
        <v>3697.4</v>
      </c>
      <c r="G12" s="32">
        <f t="shared" si="0"/>
        <v>11092.2</v>
      </c>
      <c r="H12" s="67"/>
      <c r="I12" s="67"/>
      <c r="J12" s="32">
        <f t="shared" si="9"/>
        <v>3697.4</v>
      </c>
      <c r="K12" s="32">
        <f t="shared" si="10"/>
        <v>0</v>
      </c>
      <c r="L12" s="67"/>
      <c r="M12" s="67">
        <v>3</v>
      </c>
      <c r="N12" s="32">
        <f t="shared" si="1"/>
        <v>3697.4</v>
      </c>
      <c r="O12" s="32">
        <f t="shared" si="2"/>
        <v>11092.2</v>
      </c>
      <c r="P12" s="67"/>
      <c r="Q12" s="67"/>
      <c r="R12" s="32">
        <f t="shared" si="3"/>
        <v>3697.4</v>
      </c>
      <c r="S12" s="32">
        <f t="shared" si="4"/>
        <v>0</v>
      </c>
      <c r="T12" s="67"/>
      <c r="U12" s="67"/>
      <c r="V12" s="32">
        <f t="shared" si="5"/>
        <v>3697.4</v>
      </c>
      <c r="W12" s="32">
        <f t="shared" si="6"/>
        <v>0</v>
      </c>
      <c r="X12" s="67"/>
      <c r="Y12" s="67"/>
      <c r="Z12" s="32">
        <f t="shared" si="7"/>
        <v>3697.4</v>
      </c>
      <c r="AA12" s="32">
        <f t="shared" si="8"/>
        <v>0</v>
      </c>
    </row>
    <row r="13" spans="1:27">
      <c r="A13" s="14"/>
      <c r="B13" s="31"/>
      <c r="C13" s="28" t="s">
        <v>616</v>
      </c>
      <c r="D13" s="67" t="s">
        <v>69</v>
      </c>
      <c r="E13" s="29">
        <v>1</v>
      </c>
      <c r="F13" s="32">
        <v>5890.8</v>
      </c>
      <c r="G13" s="32">
        <f t="shared" si="0"/>
        <v>5890.8</v>
      </c>
      <c r="H13" s="67"/>
      <c r="I13" s="67">
        <v>1</v>
      </c>
      <c r="J13" s="32">
        <f t="shared" si="9"/>
        <v>5890.8</v>
      </c>
      <c r="K13" s="32">
        <f t="shared" si="10"/>
        <v>5890.8</v>
      </c>
      <c r="L13" s="67"/>
      <c r="M13" s="67"/>
      <c r="N13" s="32">
        <f t="shared" si="1"/>
        <v>5890.8</v>
      </c>
      <c r="O13" s="32">
        <f t="shared" si="2"/>
        <v>0</v>
      </c>
      <c r="P13" s="67"/>
      <c r="Q13" s="67"/>
      <c r="R13" s="32">
        <f t="shared" si="3"/>
        <v>5890.8</v>
      </c>
      <c r="S13" s="32">
        <f t="shared" si="4"/>
        <v>0</v>
      </c>
      <c r="T13" s="67"/>
      <c r="U13" s="67"/>
      <c r="V13" s="32">
        <f t="shared" si="5"/>
        <v>5890.8</v>
      </c>
      <c r="W13" s="32">
        <f t="shared" si="6"/>
        <v>0</v>
      </c>
      <c r="X13" s="67"/>
      <c r="Y13" s="67"/>
      <c r="Z13" s="32">
        <f t="shared" si="7"/>
        <v>5890.8</v>
      </c>
      <c r="AA13" s="32">
        <f t="shared" si="8"/>
        <v>0</v>
      </c>
    </row>
    <row r="14" spans="1:27">
      <c r="A14" s="14"/>
      <c r="B14" s="31"/>
      <c r="C14" s="28" t="s">
        <v>624</v>
      </c>
      <c r="D14" s="67" t="s">
        <v>69</v>
      </c>
      <c r="E14" s="29">
        <v>1</v>
      </c>
      <c r="F14" s="32">
        <v>2617.4</v>
      </c>
      <c r="G14" s="32">
        <f t="shared" si="0"/>
        <v>2617.4</v>
      </c>
      <c r="H14" s="67"/>
      <c r="I14" s="67"/>
      <c r="J14" s="32">
        <f t="shared" si="9"/>
        <v>2617.4</v>
      </c>
      <c r="K14" s="32">
        <f t="shared" si="10"/>
        <v>0</v>
      </c>
      <c r="L14" s="67"/>
      <c r="M14" s="67">
        <v>1</v>
      </c>
      <c r="N14" s="32">
        <f t="shared" si="1"/>
        <v>2617.4</v>
      </c>
      <c r="O14" s="32">
        <f t="shared" si="2"/>
        <v>2617.4</v>
      </c>
      <c r="P14" s="67"/>
      <c r="Q14" s="67"/>
      <c r="R14" s="32">
        <f t="shared" si="3"/>
        <v>2617.4</v>
      </c>
      <c r="S14" s="32">
        <f t="shared" si="4"/>
        <v>0</v>
      </c>
      <c r="T14" s="67"/>
      <c r="U14" s="67"/>
      <c r="V14" s="32">
        <f t="shared" si="5"/>
        <v>2617.4</v>
      </c>
      <c r="W14" s="32">
        <f t="shared" si="6"/>
        <v>0</v>
      </c>
      <c r="X14" s="67"/>
      <c r="Y14" s="67"/>
      <c r="Z14" s="32">
        <f t="shared" si="7"/>
        <v>2617.4</v>
      </c>
      <c r="AA14" s="32">
        <f t="shared" si="8"/>
        <v>0</v>
      </c>
    </row>
    <row r="15" spans="1:27">
      <c r="A15" s="14"/>
      <c r="B15" s="31"/>
      <c r="C15" s="28" t="s">
        <v>625</v>
      </c>
      <c r="D15" s="67" t="s">
        <v>69</v>
      </c>
      <c r="E15" s="29">
        <v>1</v>
      </c>
      <c r="F15" s="32">
        <v>4460.7</v>
      </c>
      <c r="G15" s="32">
        <f t="shared" si="0"/>
        <v>4460.7</v>
      </c>
      <c r="H15" s="67"/>
      <c r="I15" s="67"/>
      <c r="J15" s="32">
        <f t="shared" si="9"/>
        <v>4460.7</v>
      </c>
      <c r="K15" s="32">
        <f t="shared" si="10"/>
        <v>0</v>
      </c>
      <c r="L15" s="67"/>
      <c r="M15" s="67">
        <v>1</v>
      </c>
      <c r="N15" s="32">
        <f t="shared" si="1"/>
        <v>4460.7</v>
      </c>
      <c r="O15" s="32">
        <f t="shared" si="2"/>
        <v>4460.7</v>
      </c>
      <c r="P15" s="67"/>
      <c r="Q15" s="67"/>
      <c r="R15" s="32">
        <f t="shared" si="3"/>
        <v>4460.7</v>
      </c>
      <c r="S15" s="32">
        <f t="shared" si="4"/>
        <v>0</v>
      </c>
      <c r="T15" s="67"/>
      <c r="U15" s="67"/>
      <c r="V15" s="32">
        <f t="shared" si="5"/>
        <v>4460.7</v>
      </c>
      <c r="W15" s="32">
        <f t="shared" si="6"/>
        <v>0</v>
      </c>
      <c r="X15" s="67"/>
      <c r="Y15" s="67"/>
      <c r="Z15" s="32">
        <f t="shared" si="7"/>
        <v>4460.7</v>
      </c>
      <c r="AA15" s="32">
        <f t="shared" si="8"/>
        <v>0</v>
      </c>
    </row>
    <row r="16" spans="1:27">
      <c r="A16" s="14"/>
      <c r="B16" s="31"/>
      <c r="C16" s="28" t="s">
        <v>626</v>
      </c>
      <c r="D16" s="67" t="s">
        <v>69</v>
      </c>
      <c r="E16" s="29">
        <v>1</v>
      </c>
      <c r="F16" s="32">
        <v>4288</v>
      </c>
      <c r="G16" s="32">
        <f t="shared" si="0"/>
        <v>4288</v>
      </c>
      <c r="H16" s="67"/>
      <c r="I16" s="67"/>
      <c r="J16" s="32">
        <f t="shared" si="9"/>
        <v>4288</v>
      </c>
      <c r="K16" s="32">
        <f t="shared" si="10"/>
        <v>0</v>
      </c>
      <c r="L16" s="67"/>
      <c r="M16" s="67">
        <v>1</v>
      </c>
      <c r="N16" s="32">
        <f t="shared" si="1"/>
        <v>4288</v>
      </c>
      <c r="O16" s="32">
        <f t="shared" si="2"/>
        <v>4288</v>
      </c>
      <c r="P16" s="67"/>
      <c r="Q16" s="67"/>
      <c r="R16" s="32">
        <f t="shared" si="3"/>
        <v>4288</v>
      </c>
      <c r="S16" s="32">
        <f t="shared" si="4"/>
        <v>0</v>
      </c>
      <c r="T16" s="67"/>
      <c r="U16" s="67"/>
      <c r="V16" s="32">
        <f t="shared" si="5"/>
        <v>4288</v>
      </c>
      <c r="W16" s="32">
        <f t="shared" si="6"/>
        <v>0</v>
      </c>
      <c r="X16" s="67"/>
      <c r="Y16" s="67"/>
      <c r="Z16" s="32">
        <f t="shared" si="7"/>
        <v>4288</v>
      </c>
      <c r="AA16" s="32">
        <f t="shared" si="8"/>
        <v>0</v>
      </c>
    </row>
    <row r="17" spans="1:27">
      <c r="A17" s="14"/>
      <c r="B17" s="31"/>
      <c r="C17" s="28" t="s">
        <v>617</v>
      </c>
      <c r="D17" s="67" t="s">
        <v>69</v>
      </c>
      <c r="E17" s="29">
        <v>2</v>
      </c>
      <c r="F17" s="32">
        <v>1869.4</v>
      </c>
      <c r="G17" s="32">
        <f t="shared" si="0"/>
        <v>3738.8</v>
      </c>
      <c r="H17" s="67"/>
      <c r="I17" s="67"/>
      <c r="J17" s="32">
        <f t="shared" si="9"/>
        <v>1869.4</v>
      </c>
      <c r="K17" s="32">
        <f t="shared" si="10"/>
        <v>0</v>
      </c>
      <c r="L17" s="67"/>
      <c r="M17" s="67">
        <v>2</v>
      </c>
      <c r="N17" s="32">
        <f t="shared" si="1"/>
        <v>1869.4</v>
      </c>
      <c r="O17" s="32">
        <f t="shared" si="2"/>
        <v>3738.8</v>
      </c>
      <c r="P17" s="67"/>
      <c r="Q17" s="67"/>
      <c r="R17" s="32">
        <f t="shared" si="3"/>
        <v>1869.4</v>
      </c>
      <c r="S17" s="32">
        <f t="shared" si="4"/>
        <v>0</v>
      </c>
      <c r="T17" s="67"/>
      <c r="U17" s="67"/>
      <c r="V17" s="32">
        <f t="shared" si="5"/>
        <v>1869.4</v>
      </c>
      <c r="W17" s="32">
        <f t="shared" si="6"/>
        <v>0</v>
      </c>
      <c r="X17" s="67"/>
      <c r="Y17" s="67"/>
      <c r="Z17" s="32">
        <f t="shared" si="7"/>
        <v>1869.4</v>
      </c>
      <c r="AA17" s="32">
        <f t="shared" si="8"/>
        <v>0</v>
      </c>
    </row>
    <row r="18" spans="1:27">
      <c r="A18" s="14"/>
      <c r="B18" s="31"/>
      <c r="C18" s="28" t="s">
        <v>618</v>
      </c>
      <c r="D18" s="67" t="s">
        <v>69</v>
      </c>
      <c r="E18" s="29">
        <v>1</v>
      </c>
      <c r="F18" s="32">
        <v>2958</v>
      </c>
      <c r="G18" s="32">
        <f t="shared" si="0"/>
        <v>2958</v>
      </c>
      <c r="H18" s="67"/>
      <c r="I18" s="67"/>
      <c r="J18" s="32">
        <f t="shared" si="9"/>
        <v>2958</v>
      </c>
      <c r="K18" s="32">
        <f t="shared" si="10"/>
        <v>0</v>
      </c>
      <c r="L18" s="67"/>
      <c r="M18" s="67">
        <v>1</v>
      </c>
      <c r="N18" s="32">
        <f t="shared" si="1"/>
        <v>2958</v>
      </c>
      <c r="O18" s="32">
        <f t="shared" si="2"/>
        <v>2958</v>
      </c>
      <c r="P18" s="67"/>
      <c r="Q18" s="67"/>
      <c r="R18" s="32">
        <f t="shared" si="3"/>
        <v>2958</v>
      </c>
      <c r="S18" s="32">
        <f t="shared" si="4"/>
        <v>0</v>
      </c>
      <c r="T18" s="67"/>
      <c r="U18" s="67"/>
      <c r="V18" s="32">
        <f t="shared" si="5"/>
        <v>2958</v>
      </c>
      <c r="W18" s="32">
        <f t="shared" si="6"/>
        <v>0</v>
      </c>
      <c r="X18" s="67"/>
      <c r="Y18" s="67"/>
      <c r="Z18" s="32">
        <f t="shared" si="7"/>
        <v>2958</v>
      </c>
      <c r="AA18" s="32">
        <f t="shared" si="8"/>
        <v>0</v>
      </c>
    </row>
    <row r="19" spans="1:27">
      <c r="A19" s="14"/>
      <c r="B19" s="31"/>
      <c r="C19" s="28" t="s">
        <v>657</v>
      </c>
      <c r="D19" s="67" t="s">
        <v>69</v>
      </c>
      <c r="E19" s="29">
        <v>2</v>
      </c>
      <c r="F19" s="32">
        <v>1541.8</v>
      </c>
      <c r="G19" s="32">
        <f t="shared" si="0"/>
        <v>3083.6</v>
      </c>
      <c r="H19" s="67"/>
      <c r="I19" s="67"/>
      <c r="J19" s="32">
        <f t="shared" si="9"/>
        <v>1541.8</v>
      </c>
      <c r="K19" s="32">
        <f t="shared" si="10"/>
        <v>0</v>
      </c>
      <c r="L19" s="67"/>
      <c r="M19" s="67">
        <v>2</v>
      </c>
      <c r="N19" s="32">
        <f t="shared" si="1"/>
        <v>1541.8</v>
      </c>
      <c r="O19" s="32">
        <f t="shared" si="2"/>
        <v>3083.6</v>
      </c>
      <c r="P19" s="67"/>
      <c r="Q19" s="67"/>
      <c r="R19" s="32">
        <f t="shared" si="3"/>
        <v>1541.8</v>
      </c>
      <c r="S19" s="32">
        <f t="shared" si="4"/>
        <v>0</v>
      </c>
      <c r="T19" s="67"/>
      <c r="U19" s="67"/>
      <c r="V19" s="32">
        <f t="shared" si="5"/>
        <v>1541.8</v>
      </c>
      <c r="W19" s="32">
        <f t="shared" si="6"/>
        <v>0</v>
      </c>
      <c r="X19" s="67"/>
      <c r="Y19" s="67"/>
      <c r="Z19" s="32">
        <f t="shared" si="7"/>
        <v>1541.8</v>
      </c>
      <c r="AA19" s="32">
        <f t="shared" si="8"/>
        <v>0</v>
      </c>
    </row>
    <row r="20" spans="1:27">
      <c r="A20" s="14"/>
      <c r="B20" s="31"/>
      <c r="C20" s="28" t="s">
        <v>658</v>
      </c>
      <c r="D20" s="67" t="s">
        <v>69</v>
      </c>
      <c r="E20" s="29">
        <v>1</v>
      </c>
      <c r="F20" s="32">
        <v>1120.5</v>
      </c>
      <c r="G20" s="32">
        <f t="shared" si="0"/>
        <v>1120.5</v>
      </c>
      <c r="H20" s="67"/>
      <c r="I20" s="67"/>
      <c r="J20" s="32">
        <f t="shared" si="9"/>
        <v>1120.5</v>
      </c>
      <c r="K20" s="32">
        <f t="shared" si="10"/>
        <v>0</v>
      </c>
      <c r="L20" s="67"/>
      <c r="M20" s="67">
        <v>1</v>
      </c>
      <c r="N20" s="32">
        <f t="shared" si="1"/>
        <v>1120.5</v>
      </c>
      <c r="O20" s="32">
        <f t="shared" si="2"/>
        <v>1120.5</v>
      </c>
      <c r="P20" s="67"/>
      <c r="Q20" s="67"/>
      <c r="R20" s="32">
        <f t="shared" si="3"/>
        <v>1120.5</v>
      </c>
      <c r="S20" s="32">
        <f t="shared" si="4"/>
        <v>0</v>
      </c>
      <c r="T20" s="67"/>
      <c r="U20" s="67"/>
      <c r="V20" s="32">
        <f t="shared" si="5"/>
        <v>1120.5</v>
      </c>
      <c r="W20" s="32">
        <f t="shared" si="6"/>
        <v>0</v>
      </c>
      <c r="X20" s="67"/>
      <c r="Y20" s="67"/>
      <c r="Z20" s="32">
        <f t="shared" si="7"/>
        <v>1120.5</v>
      </c>
      <c r="AA20" s="32">
        <f t="shared" si="8"/>
        <v>0</v>
      </c>
    </row>
    <row r="21" spans="1:27">
      <c r="A21" s="14"/>
      <c r="B21" s="31"/>
      <c r="C21" s="28" t="s">
        <v>660</v>
      </c>
      <c r="D21" s="67" t="s">
        <v>69</v>
      </c>
      <c r="E21" s="29">
        <v>3</v>
      </c>
      <c r="F21" s="32">
        <v>1466.7</v>
      </c>
      <c r="G21" s="32">
        <f t="shared" si="0"/>
        <v>4400.1000000000004</v>
      </c>
      <c r="H21" s="67"/>
      <c r="I21" s="67"/>
      <c r="J21" s="32">
        <f t="shared" si="9"/>
        <v>1466.7</v>
      </c>
      <c r="K21" s="32">
        <f t="shared" si="10"/>
        <v>0</v>
      </c>
      <c r="L21" s="67"/>
      <c r="M21" s="67">
        <v>3</v>
      </c>
      <c r="N21" s="32">
        <f t="shared" si="1"/>
        <v>1466.7</v>
      </c>
      <c r="O21" s="32">
        <f t="shared" si="2"/>
        <v>4400.1000000000004</v>
      </c>
      <c r="P21" s="67"/>
      <c r="Q21" s="67"/>
      <c r="R21" s="32">
        <f t="shared" si="3"/>
        <v>1466.7</v>
      </c>
      <c r="S21" s="32">
        <f t="shared" si="4"/>
        <v>0</v>
      </c>
      <c r="T21" s="67"/>
      <c r="U21" s="67"/>
      <c r="V21" s="32">
        <f t="shared" si="5"/>
        <v>1466.7</v>
      </c>
      <c r="W21" s="32">
        <f t="shared" si="6"/>
        <v>0</v>
      </c>
      <c r="X21" s="67"/>
      <c r="Y21" s="67"/>
      <c r="Z21" s="32">
        <f t="shared" si="7"/>
        <v>1466.7</v>
      </c>
      <c r="AA21" s="32">
        <f t="shared" si="8"/>
        <v>0</v>
      </c>
    </row>
    <row r="22" spans="1:27">
      <c r="A22" s="14"/>
      <c r="B22" s="31"/>
      <c r="C22" s="28" t="s">
        <v>659</v>
      </c>
      <c r="D22" s="67" t="s">
        <v>69</v>
      </c>
      <c r="E22" s="29">
        <v>2</v>
      </c>
      <c r="F22" s="32">
        <v>1045.5</v>
      </c>
      <c r="G22" s="32">
        <f t="shared" si="0"/>
        <v>2091</v>
      </c>
      <c r="H22" s="67"/>
      <c r="I22" s="67"/>
      <c r="J22" s="32">
        <f t="shared" si="9"/>
        <v>1045.5</v>
      </c>
      <c r="K22" s="32">
        <f t="shared" si="10"/>
        <v>0</v>
      </c>
      <c r="L22" s="67"/>
      <c r="M22" s="67">
        <v>2</v>
      </c>
      <c r="N22" s="32">
        <f t="shared" si="1"/>
        <v>1045.5</v>
      </c>
      <c r="O22" s="32">
        <f t="shared" si="2"/>
        <v>2091</v>
      </c>
      <c r="P22" s="67"/>
      <c r="Q22" s="67"/>
      <c r="R22" s="32">
        <f t="shared" si="3"/>
        <v>1045.5</v>
      </c>
      <c r="S22" s="32">
        <f t="shared" si="4"/>
        <v>0</v>
      </c>
      <c r="T22" s="67"/>
      <c r="U22" s="67"/>
      <c r="V22" s="32">
        <f t="shared" si="5"/>
        <v>1045.5</v>
      </c>
      <c r="W22" s="32">
        <f t="shared" si="6"/>
        <v>0</v>
      </c>
      <c r="X22" s="67"/>
      <c r="Y22" s="67"/>
      <c r="Z22" s="32">
        <f t="shared" si="7"/>
        <v>1045.5</v>
      </c>
      <c r="AA22" s="32">
        <f t="shared" si="8"/>
        <v>0</v>
      </c>
    </row>
    <row r="23" spans="1:27">
      <c r="A23" s="14"/>
      <c r="B23" s="31"/>
      <c r="C23" s="28" t="s">
        <v>619</v>
      </c>
      <c r="D23" s="67" t="s">
        <v>69</v>
      </c>
      <c r="E23" s="29">
        <v>1</v>
      </c>
      <c r="F23" s="32">
        <v>4691.7</v>
      </c>
      <c r="G23" s="32">
        <f t="shared" si="0"/>
        <v>4691.7</v>
      </c>
      <c r="H23" s="67"/>
      <c r="I23" s="67"/>
      <c r="J23" s="32">
        <f t="shared" si="9"/>
        <v>4691.7</v>
      </c>
      <c r="K23" s="32">
        <f t="shared" si="10"/>
        <v>0</v>
      </c>
      <c r="L23" s="67"/>
      <c r="M23" s="67">
        <v>1</v>
      </c>
      <c r="N23" s="32">
        <f t="shared" si="1"/>
        <v>4691.7</v>
      </c>
      <c r="O23" s="32">
        <f t="shared" si="2"/>
        <v>4691.7</v>
      </c>
      <c r="P23" s="67"/>
      <c r="Q23" s="67"/>
      <c r="R23" s="32">
        <f t="shared" si="3"/>
        <v>4691.7</v>
      </c>
      <c r="S23" s="32">
        <f t="shared" si="4"/>
        <v>0</v>
      </c>
      <c r="T23" s="67"/>
      <c r="U23" s="67"/>
      <c r="V23" s="32">
        <f t="shared" si="5"/>
        <v>4691.7</v>
      </c>
      <c r="W23" s="32">
        <f t="shared" si="6"/>
        <v>0</v>
      </c>
      <c r="X23" s="67"/>
      <c r="Y23" s="67"/>
      <c r="Z23" s="32">
        <f t="shared" si="7"/>
        <v>4691.7</v>
      </c>
      <c r="AA23" s="32">
        <f t="shared" si="8"/>
        <v>0</v>
      </c>
    </row>
    <row r="24" spans="1:27">
      <c r="A24" s="14"/>
      <c r="B24" s="31"/>
      <c r="C24" s="28" t="s">
        <v>816</v>
      </c>
      <c r="D24" s="67" t="s">
        <v>69</v>
      </c>
      <c r="E24" s="29">
        <f>I24+M24+Q24+U24+Y24</f>
        <v>1</v>
      </c>
      <c r="F24" s="32">
        <v>1962</v>
      </c>
      <c r="G24" s="32">
        <f t="shared" si="0"/>
        <v>1962</v>
      </c>
      <c r="H24" s="67"/>
      <c r="I24" s="67"/>
      <c r="J24" s="32">
        <f t="shared" si="9"/>
        <v>1962</v>
      </c>
      <c r="K24" s="32">
        <f t="shared" si="10"/>
        <v>0</v>
      </c>
      <c r="L24" s="67"/>
      <c r="M24" s="67"/>
      <c r="N24" s="32">
        <f t="shared" si="1"/>
        <v>1962</v>
      </c>
      <c r="O24" s="32">
        <f t="shared" si="2"/>
        <v>0</v>
      </c>
      <c r="P24" s="67"/>
      <c r="Q24" s="67"/>
      <c r="R24" s="32">
        <f t="shared" si="3"/>
        <v>1962</v>
      </c>
      <c r="S24" s="32">
        <f t="shared" si="4"/>
        <v>0</v>
      </c>
      <c r="T24" s="67"/>
      <c r="U24" s="67">
        <v>1</v>
      </c>
      <c r="V24" s="32">
        <f t="shared" si="5"/>
        <v>1962</v>
      </c>
      <c r="W24" s="32">
        <f t="shared" si="6"/>
        <v>1962</v>
      </c>
      <c r="X24" s="67"/>
      <c r="Y24" s="67"/>
      <c r="Z24" s="32">
        <f t="shared" si="7"/>
        <v>1962</v>
      </c>
      <c r="AA24" s="32">
        <f t="shared" si="8"/>
        <v>0</v>
      </c>
    </row>
    <row r="25" spans="1:27">
      <c r="A25" s="14"/>
      <c r="B25" s="31"/>
      <c r="C25" s="28" t="s">
        <v>620</v>
      </c>
      <c r="D25" s="67" t="s">
        <v>69</v>
      </c>
      <c r="E25" s="29">
        <f>I25+M25+Q25+U25+Y25</f>
        <v>4</v>
      </c>
      <c r="F25" s="32">
        <v>2338.1999999999998</v>
      </c>
      <c r="G25" s="32">
        <f t="shared" si="0"/>
        <v>9352.7999999999993</v>
      </c>
      <c r="H25" s="67"/>
      <c r="I25" s="67"/>
      <c r="J25" s="32">
        <f t="shared" si="9"/>
        <v>2338.1999999999998</v>
      </c>
      <c r="K25" s="32">
        <f t="shared" si="10"/>
        <v>0</v>
      </c>
      <c r="L25" s="67"/>
      <c r="M25" s="67"/>
      <c r="N25" s="32">
        <f t="shared" si="1"/>
        <v>2338.1999999999998</v>
      </c>
      <c r="O25" s="32">
        <f t="shared" si="2"/>
        <v>0</v>
      </c>
      <c r="P25" s="67"/>
      <c r="Q25" s="67"/>
      <c r="R25" s="32">
        <f t="shared" si="3"/>
        <v>2338.1999999999998</v>
      </c>
      <c r="S25" s="32">
        <f t="shared" si="4"/>
        <v>0</v>
      </c>
      <c r="T25" s="67"/>
      <c r="U25" s="67">
        <v>4</v>
      </c>
      <c r="V25" s="32">
        <f t="shared" si="5"/>
        <v>2338.1999999999998</v>
      </c>
      <c r="W25" s="32">
        <f t="shared" si="6"/>
        <v>9352.7999999999993</v>
      </c>
      <c r="X25" s="67"/>
      <c r="Y25" s="67"/>
      <c r="Z25" s="32">
        <f t="shared" si="7"/>
        <v>2338.1999999999998</v>
      </c>
      <c r="AA25" s="32">
        <f t="shared" si="8"/>
        <v>0</v>
      </c>
    </row>
    <row r="26" spans="1:27">
      <c r="A26" s="14"/>
      <c r="B26" s="31"/>
      <c r="C26" s="28" t="s">
        <v>621</v>
      </c>
      <c r="D26" s="67" t="s">
        <v>69</v>
      </c>
      <c r="E26" s="29">
        <f>I26+M26+Q26+U26+Y26</f>
        <v>1</v>
      </c>
      <c r="F26" s="32">
        <v>1530.7</v>
      </c>
      <c r="G26" s="32">
        <f t="shared" si="0"/>
        <v>1530.7</v>
      </c>
      <c r="H26" s="67"/>
      <c r="I26" s="67"/>
      <c r="J26" s="32">
        <f t="shared" si="9"/>
        <v>1530.7</v>
      </c>
      <c r="K26" s="32">
        <f t="shared" si="10"/>
        <v>0</v>
      </c>
      <c r="L26" s="67"/>
      <c r="M26" s="67"/>
      <c r="N26" s="32">
        <f t="shared" si="1"/>
        <v>1530.7</v>
      </c>
      <c r="O26" s="32">
        <f t="shared" si="2"/>
        <v>0</v>
      </c>
      <c r="P26" s="67"/>
      <c r="Q26" s="67"/>
      <c r="R26" s="32">
        <f t="shared" si="3"/>
        <v>1530.7</v>
      </c>
      <c r="S26" s="32">
        <f t="shared" si="4"/>
        <v>0</v>
      </c>
      <c r="T26" s="67"/>
      <c r="U26" s="67">
        <v>1</v>
      </c>
      <c r="V26" s="32">
        <f t="shared" si="5"/>
        <v>1530.7</v>
      </c>
      <c r="W26" s="32">
        <f t="shared" si="6"/>
        <v>1530.7</v>
      </c>
      <c r="X26" s="67"/>
      <c r="Y26" s="67"/>
      <c r="Z26" s="32">
        <f t="shared" si="7"/>
        <v>1530.7</v>
      </c>
      <c r="AA26" s="32">
        <f t="shared" si="8"/>
        <v>0</v>
      </c>
    </row>
    <row r="27" spans="1:27">
      <c r="A27" s="14"/>
      <c r="B27" s="31"/>
      <c r="C27" s="28" t="s">
        <v>622</v>
      </c>
      <c r="D27" s="67" t="s">
        <v>69</v>
      </c>
      <c r="E27" s="29">
        <f>I27+M27+Q27+U27+Y27</f>
        <v>1</v>
      </c>
      <c r="F27" s="32">
        <v>1340</v>
      </c>
      <c r="G27" s="32">
        <f t="shared" si="0"/>
        <v>1340</v>
      </c>
      <c r="H27" s="67"/>
      <c r="I27" s="67"/>
      <c r="J27" s="32">
        <f t="shared" si="9"/>
        <v>1340</v>
      </c>
      <c r="K27" s="32">
        <f t="shared" si="10"/>
        <v>0</v>
      </c>
      <c r="L27" s="67"/>
      <c r="M27" s="67"/>
      <c r="N27" s="32">
        <f t="shared" si="1"/>
        <v>1340</v>
      </c>
      <c r="O27" s="32">
        <f t="shared" si="2"/>
        <v>0</v>
      </c>
      <c r="P27" s="67"/>
      <c r="Q27" s="67"/>
      <c r="R27" s="32">
        <f t="shared" si="3"/>
        <v>1340</v>
      </c>
      <c r="S27" s="32">
        <f t="shared" si="4"/>
        <v>0</v>
      </c>
      <c r="T27" s="67"/>
      <c r="U27" s="67">
        <v>1</v>
      </c>
      <c r="V27" s="32">
        <f t="shared" si="5"/>
        <v>1340</v>
      </c>
      <c r="W27" s="32">
        <f t="shared" si="6"/>
        <v>1340</v>
      </c>
      <c r="X27" s="67"/>
      <c r="Y27" s="67"/>
      <c r="Z27" s="32">
        <f t="shared" si="7"/>
        <v>1340</v>
      </c>
      <c r="AA27" s="32">
        <f t="shared" si="8"/>
        <v>0</v>
      </c>
    </row>
    <row r="28" spans="1:27">
      <c r="A28" s="14"/>
      <c r="B28" s="31"/>
      <c r="C28" s="28" t="s">
        <v>623</v>
      </c>
      <c r="D28" s="67" t="s">
        <v>69</v>
      </c>
      <c r="E28" s="29">
        <f>I28+M28+Q28+U28+Y28</f>
        <v>1</v>
      </c>
      <c r="F28" s="32">
        <v>4559</v>
      </c>
      <c r="G28" s="32">
        <f t="shared" si="0"/>
        <v>4559</v>
      </c>
      <c r="H28" s="67"/>
      <c r="I28" s="67"/>
      <c r="J28" s="32">
        <f t="shared" si="9"/>
        <v>4559</v>
      </c>
      <c r="K28" s="32">
        <f t="shared" si="10"/>
        <v>0</v>
      </c>
      <c r="L28" s="67"/>
      <c r="M28" s="67"/>
      <c r="N28" s="32">
        <f t="shared" si="1"/>
        <v>4559</v>
      </c>
      <c r="O28" s="32">
        <f t="shared" si="2"/>
        <v>0</v>
      </c>
      <c r="P28" s="67"/>
      <c r="Q28" s="67"/>
      <c r="R28" s="32">
        <f t="shared" si="3"/>
        <v>4559</v>
      </c>
      <c r="S28" s="32">
        <f t="shared" si="4"/>
        <v>0</v>
      </c>
      <c r="T28" s="67"/>
      <c r="U28" s="67">
        <v>1</v>
      </c>
      <c r="V28" s="32">
        <f t="shared" si="5"/>
        <v>4559</v>
      </c>
      <c r="W28" s="32">
        <f t="shared" si="6"/>
        <v>4559</v>
      </c>
      <c r="X28" s="67"/>
      <c r="Y28" s="67"/>
      <c r="Z28" s="32">
        <f t="shared" si="7"/>
        <v>4559</v>
      </c>
      <c r="AA28" s="32">
        <f t="shared" si="8"/>
        <v>0</v>
      </c>
    </row>
    <row r="29" spans="1:27" ht="6" customHeight="1">
      <c r="A29" s="14"/>
      <c r="B29" s="31"/>
      <c r="C29" s="28"/>
      <c r="D29" s="67"/>
      <c r="E29" s="67"/>
      <c r="F29" s="32"/>
      <c r="G29" s="32">
        <f t="shared" si="0"/>
        <v>0</v>
      </c>
      <c r="H29" s="67"/>
      <c r="I29" s="67"/>
      <c r="J29" s="32">
        <f t="shared" si="9"/>
        <v>0</v>
      </c>
      <c r="K29" s="32">
        <f t="shared" si="10"/>
        <v>0</v>
      </c>
      <c r="L29" s="67"/>
      <c r="M29" s="67"/>
      <c r="N29" s="32">
        <f t="shared" si="1"/>
        <v>0</v>
      </c>
      <c r="O29" s="32">
        <f t="shared" si="2"/>
        <v>0</v>
      </c>
      <c r="P29" s="67"/>
      <c r="Q29" s="67"/>
      <c r="R29" s="32">
        <f t="shared" si="3"/>
        <v>0</v>
      </c>
      <c r="S29" s="32">
        <f t="shared" si="4"/>
        <v>0</v>
      </c>
      <c r="T29" s="67"/>
      <c r="U29" s="67"/>
      <c r="V29" s="32">
        <f t="shared" si="5"/>
        <v>0</v>
      </c>
      <c r="W29" s="32">
        <f t="shared" si="6"/>
        <v>0</v>
      </c>
      <c r="X29" s="67"/>
      <c r="Y29" s="67"/>
      <c r="Z29" s="32">
        <f t="shared" si="7"/>
        <v>0</v>
      </c>
      <c r="AA29" s="32">
        <f t="shared" si="8"/>
        <v>0</v>
      </c>
    </row>
    <row r="30" spans="1:27">
      <c r="A30" s="14"/>
      <c r="B30" s="31"/>
      <c r="C30" s="28" t="s">
        <v>627</v>
      </c>
      <c r="D30" s="67" t="s">
        <v>69</v>
      </c>
      <c r="E30" s="29">
        <f t="shared" ref="E30:E35" si="11">I30+M30+Q30+U30+Y30</f>
        <v>1</v>
      </c>
      <c r="F30" s="32">
        <v>2622.7</v>
      </c>
      <c r="G30" s="32">
        <f t="shared" si="0"/>
        <v>2622.7</v>
      </c>
      <c r="H30" s="67"/>
      <c r="I30" s="67"/>
      <c r="J30" s="32">
        <f t="shared" si="9"/>
        <v>2622.7</v>
      </c>
      <c r="K30" s="32">
        <f t="shared" si="10"/>
        <v>0</v>
      </c>
      <c r="L30" s="67"/>
      <c r="M30" s="67"/>
      <c r="N30" s="32">
        <f t="shared" si="1"/>
        <v>2622.7</v>
      </c>
      <c r="O30" s="32">
        <f t="shared" si="2"/>
        <v>0</v>
      </c>
      <c r="P30" s="67"/>
      <c r="Q30" s="67"/>
      <c r="R30" s="32">
        <f t="shared" si="3"/>
        <v>2622.7</v>
      </c>
      <c r="S30" s="32">
        <f t="shared" si="4"/>
        <v>0</v>
      </c>
      <c r="T30" s="67"/>
      <c r="U30" s="67">
        <v>1</v>
      </c>
      <c r="V30" s="32">
        <f t="shared" si="5"/>
        <v>2622.7</v>
      </c>
      <c r="W30" s="32">
        <f t="shared" si="6"/>
        <v>2622.7</v>
      </c>
      <c r="X30" s="67"/>
      <c r="Y30" s="67"/>
      <c r="Z30" s="32">
        <f t="shared" si="7"/>
        <v>2622.7</v>
      </c>
      <c r="AA30" s="32">
        <f t="shared" si="8"/>
        <v>0</v>
      </c>
    </row>
    <row r="31" spans="1:27">
      <c r="A31" s="14"/>
      <c r="B31" s="31"/>
      <c r="C31" s="28" t="s">
        <v>628</v>
      </c>
      <c r="D31" s="67" t="s">
        <v>69</v>
      </c>
      <c r="E31" s="29">
        <f t="shared" si="11"/>
        <v>1</v>
      </c>
      <c r="F31" s="32">
        <v>2647.5</v>
      </c>
      <c r="G31" s="32">
        <f t="shared" si="0"/>
        <v>2647.5</v>
      </c>
      <c r="H31" s="67"/>
      <c r="I31" s="67"/>
      <c r="J31" s="32">
        <f t="shared" si="9"/>
        <v>2647.5</v>
      </c>
      <c r="K31" s="32">
        <f t="shared" si="10"/>
        <v>0</v>
      </c>
      <c r="L31" s="67"/>
      <c r="M31" s="67"/>
      <c r="N31" s="32">
        <f t="shared" si="1"/>
        <v>2647.5</v>
      </c>
      <c r="O31" s="32">
        <f t="shared" si="2"/>
        <v>0</v>
      </c>
      <c r="P31" s="67"/>
      <c r="Q31" s="67"/>
      <c r="R31" s="32">
        <f t="shared" si="3"/>
        <v>2647.5</v>
      </c>
      <c r="S31" s="32">
        <f t="shared" si="4"/>
        <v>0</v>
      </c>
      <c r="T31" s="67"/>
      <c r="U31" s="67">
        <v>1</v>
      </c>
      <c r="V31" s="32">
        <f t="shared" si="5"/>
        <v>2647.5</v>
      </c>
      <c r="W31" s="32">
        <f t="shared" si="6"/>
        <v>2647.5</v>
      </c>
      <c r="X31" s="67"/>
      <c r="Y31" s="67"/>
      <c r="Z31" s="32">
        <f t="shared" si="7"/>
        <v>2647.5</v>
      </c>
      <c r="AA31" s="32">
        <f t="shared" si="8"/>
        <v>0</v>
      </c>
    </row>
    <row r="32" spans="1:27">
      <c r="A32" s="14"/>
      <c r="B32" s="31"/>
      <c r="C32" s="28" t="s">
        <v>629</v>
      </c>
      <c r="D32" s="67" t="s">
        <v>69</v>
      </c>
      <c r="E32" s="29">
        <f t="shared" si="11"/>
        <v>1</v>
      </c>
      <c r="F32" s="32">
        <v>1253.5</v>
      </c>
      <c r="G32" s="32">
        <f t="shared" si="0"/>
        <v>1253.5</v>
      </c>
      <c r="H32" s="67"/>
      <c r="I32" s="67"/>
      <c r="J32" s="32">
        <f t="shared" si="9"/>
        <v>1253.5</v>
      </c>
      <c r="K32" s="32">
        <f t="shared" si="10"/>
        <v>0</v>
      </c>
      <c r="L32" s="67"/>
      <c r="M32" s="67"/>
      <c r="N32" s="32">
        <f t="shared" si="1"/>
        <v>1253.5</v>
      </c>
      <c r="O32" s="32">
        <f t="shared" si="2"/>
        <v>0</v>
      </c>
      <c r="P32" s="67"/>
      <c r="Q32" s="67">
        <v>1</v>
      </c>
      <c r="R32" s="32">
        <f t="shared" si="3"/>
        <v>1253.5</v>
      </c>
      <c r="S32" s="32">
        <f t="shared" si="4"/>
        <v>1253.5</v>
      </c>
      <c r="T32" s="67"/>
      <c r="U32" s="67"/>
      <c r="V32" s="32">
        <f t="shared" si="5"/>
        <v>1253.5</v>
      </c>
      <c r="W32" s="32">
        <f t="shared" si="6"/>
        <v>0</v>
      </c>
      <c r="X32" s="67"/>
      <c r="Y32" s="67"/>
      <c r="Z32" s="32">
        <f t="shared" si="7"/>
        <v>1253.5</v>
      </c>
      <c r="AA32" s="32">
        <f t="shared" si="8"/>
        <v>0</v>
      </c>
    </row>
    <row r="33" spans="1:27">
      <c r="A33" s="14"/>
      <c r="B33" s="31"/>
      <c r="C33" s="28" t="s">
        <v>630</v>
      </c>
      <c r="D33" s="67" t="s">
        <v>69</v>
      </c>
      <c r="E33" s="29">
        <f t="shared" si="11"/>
        <v>1</v>
      </c>
      <c r="F33" s="32">
        <v>2729</v>
      </c>
      <c r="G33" s="32">
        <f t="shared" si="0"/>
        <v>2729</v>
      </c>
      <c r="H33" s="67"/>
      <c r="I33" s="67"/>
      <c r="J33" s="32">
        <f t="shared" si="9"/>
        <v>2729</v>
      </c>
      <c r="K33" s="32">
        <f t="shared" si="10"/>
        <v>0</v>
      </c>
      <c r="L33" s="67"/>
      <c r="M33" s="67"/>
      <c r="N33" s="32">
        <f t="shared" si="1"/>
        <v>2729</v>
      </c>
      <c r="O33" s="32">
        <f t="shared" si="2"/>
        <v>0</v>
      </c>
      <c r="P33" s="67"/>
      <c r="Q33" s="67">
        <v>1</v>
      </c>
      <c r="R33" s="32">
        <f t="shared" si="3"/>
        <v>2729</v>
      </c>
      <c r="S33" s="32">
        <f t="shared" si="4"/>
        <v>2729</v>
      </c>
      <c r="T33" s="67"/>
      <c r="U33" s="67"/>
      <c r="V33" s="32">
        <f t="shared" si="5"/>
        <v>2729</v>
      </c>
      <c r="W33" s="32">
        <f t="shared" si="6"/>
        <v>0</v>
      </c>
      <c r="X33" s="67"/>
      <c r="Y33" s="67"/>
      <c r="Z33" s="32">
        <f t="shared" si="7"/>
        <v>2729</v>
      </c>
      <c r="AA33" s="32">
        <f t="shared" si="8"/>
        <v>0</v>
      </c>
    </row>
    <row r="34" spans="1:27">
      <c r="A34" s="14"/>
      <c r="B34" s="31"/>
      <c r="C34" s="28" t="s">
        <v>631</v>
      </c>
      <c r="D34" s="67" t="s">
        <v>69</v>
      </c>
      <c r="E34" s="29">
        <f t="shared" si="11"/>
        <v>1</v>
      </c>
      <c r="F34" s="32">
        <v>2729</v>
      </c>
      <c r="G34" s="32">
        <f t="shared" si="0"/>
        <v>2729</v>
      </c>
      <c r="H34" s="67"/>
      <c r="I34" s="67"/>
      <c r="J34" s="32">
        <f t="shared" si="9"/>
        <v>2729</v>
      </c>
      <c r="K34" s="32">
        <f t="shared" si="10"/>
        <v>0</v>
      </c>
      <c r="L34" s="67"/>
      <c r="M34" s="67"/>
      <c r="N34" s="32">
        <f t="shared" si="1"/>
        <v>2729</v>
      </c>
      <c r="O34" s="32">
        <f t="shared" si="2"/>
        <v>0</v>
      </c>
      <c r="P34" s="67"/>
      <c r="Q34" s="67">
        <v>1</v>
      </c>
      <c r="R34" s="32">
        <f t="shared" si="3"/>
        <v>2729</v>
      </c>
      <c r="S34" s="32">
        <f t="shared" si="4"/>
        <v>2729</v>
      </c>
      <c r="T34" s="67"/>
      <c r="U34" s="67"/>
      <c r="V34" s="32">
        <f t="shared" si="5"/>
        <v>2729</v>
      </c>
      <c r="W34" s="32">
        <f t="shared" si="6"/>
        <v>0</v>
      </c>
      <c r="X34" s="67"/>
      <c r="Y34" s="67"/>
      <c r="Z34" s="32">
        <f t="shared" si="7"/>
        <v>2729</v>
      </c>
      <c r="AA34" s="32">
        <f t="shared" si="8"/>
        <v>0</v>
      </c>
    </row>
    <row r="35" spans="1:27">
      <c r="A35" s="14"/>
      <c r="B35" s="31"/>
      <c r="C35" s="28" t="s">
        <v>632</v>
      </c>
      <c r="D35" s="67" t="s">
        <v>69</v>
      </c>
      <c r="E35" s="29">
        <f t="shared" si="11"/>
        <v>1</v>
      </c>
      <c r="F35" s="32">
        <v>6461.3</v>
      </c>
      <c r="G35" s="32">
        <f t="shared" si="0"/>
        <v>6461.3</v>
      </c>
      <c r="H35" s="67"/>
      <c r="I35" s="67"/>
      <c r="J35" s="32">
        <f t="shared" si="9"/>
        <v>6461.3</v>
      </c>
      <c r="K35" s="32">
        <f t="shared" si="10"/>
        <v>0</v>
      </c>
      <c r="L35" s="67"/>
      <c r="M35" s="67"/>
      <c r="N35" s="32">
        <f t="shared" si="1"/>
        <v>6461.3</v>
      </c>
      <c r="O35" s="32">
        <f t="shared" si="2"/>
        <v>0</v>
      </c>
      <c r="P35" s="67"/>
      <c r="Q35" s="67">
        <v>1</v>
      </c>
      <c r="R35" s="32">
        <f t="shared" si="3"/>
        <v>6461.3</v>
      </c>
      <c r="S35" s="32">
        <f t="shared" si="4"/>
        <v>6461.3</v>
      </c>
      <c r="T35" s="67"/>
      <c r="U35" s="67"/>
      <c r="V35" s="32">
        <f t="shared" si="5"/>
        <v>6461.3</v>
      </c>
      <c r="W35" s="32">
        <f t="shared" si="6"/>
        <v>0</v>
      </c>
      <c r="X35" s="67"/>
      <c r="Y35" s="67"/>
      <c r="Z35" s="32">
        <f t="shared" si="7"/>
        <v>6461.3</v>
      </c>
      <c r="AA35" s="32">
        <f t="shared" si="8"/>
        <v>0</v>
      </c>
    </row>
    <row r="36" spans="1:27">
      <c r="A36" s="14"/>
      <c r="B36" s="31"/>
      <c r="C36" s="28" t="s">
        <v>647</v>
      </c>
      <c r="D36" s="67" t="s">
        <v>69</v>
      </c>
      <c r="E36" s="29">
        <v>1</v>
      </c>
      <c r="F36" s="32">
        <v>1417.4</v>
      </c>
      <c r="G36" s="32">
        <f t="shared" si="0"/>
        <v>1417.4</v>
      </c>
      <c r="H36" s="67"/>
      <c r="I36" s="67"/>
      <c r="J36" s="32">
        <f t="shared" si="9"/>
        <v>1417.4</v>
      </c>
      <c r="K36" s="32">
        <f t="shared" si="10"/>
        <v>0</v>
      </c>
      <c r="L36" s="67"/>
      <c r="M36" s="67">
        <v>1</v>
      </c>
      <c r="N36" s="32">
        <f t="shared" si="1"/>
        <v>1417.4</v>
      </c>
      <c r="O36" s="32">
        <f t="shared" si="2"/>
        <v>1417.4</v>
      </c>
      <c r="P36" s="67"/>
      <c r="Q36" s="67"/>
      <c r="R36" s="32">
        <f t="shared" si="3"/>
        <v>1417.4</v>
      </c>
      <c r="S36" s="32">
        <f t="shared" si="4"/>
        <v>0</v>
      </c>
      <c r="T36" s="67"/>
      <c r="U36" s="67"/>
      <c r="V36" s="32">
        <f t="shared" si="5"/>
        <v>1417.4</v>
      </c>
      <c r="W36" s="32">
        <f t="shared" si="6"/>
        <v>0</v>
      </c>
      <c r="X36" s="67"/>
      <c r="Y36" s="67"/>
      <c r="Z36" s="32">
        <f t="shared" si="7"/>
        <v>1417.4</v>
      </c>
      <c r="AA36" s="32">
        <f t="shared" si="8"/>
        <v>0</v>
      </c>
    </row>
    <row r="37" spans="1:27">
      <c r="A37" s="14"/>
      <c r="B37" s="31"/>
      <c r="C37" s="28" t="s">
        <v>648</v>
      </c>
      <c r="D37" s="67" t="s">
        <v>69</v>
      </c>
      <c r="E37" s="29">
        <v>1</v>
      </c>
      <c r="F37" s="32">
        <v>932</v>
      </c>
      <c r="G37" s="32">
        <f t="shared" si="0"/>
        <v>932</v>
      </c>
      <c r="H37" s="67"/>
      <c r="I37" s="67"/>
      <c r="J37" s="32">
        <f t="shared" si="9"/>
        <v>932</v>
      </c>
      <c r="K37" s="32">
        <f t="shared" si="10"/>
        <v>0</v>
      </c>
      <c r="L37" s="67"/>
      <c r="M37" s="67">
        <v>1</v>
      </c>
      <c r="N37" s="32">
        <f t="shared" si="1"/>
        <v>932</v>
      </c>
      <c r="O37" s="32">
        <f t="shared" si="2"/>
        <v>932</v>
      </c>
      <c r="P37" s="67"/>
      <c r="Q37" s="67"/>
      <c r="R37" s="32">
        <f t="shared" si="3"/>
        <v>932</v>
      </c>
      <c r="S37" s="32">
        <f t="shared" si="4"/>
        <v>0</v>
      </c>
      <c r="T37" s="67"/>
      <c r="U37" s="67"/>
      <c r="V37" s="32">
        <f t="shared" si="5"/>
        <v>932</v>
      </c>
      <c r="W37" s="32">
        <f t="shared" si="6"/>
        <v>0</v>
      </c>
      <c r="X37" s="67"/>
      <c r="Y37" s="67"/>
      <c r="Z37" s="32">
        <f t="shared" si="7"/>
        <v>932</v>
      </c>
      <c r="AA37" s="32">
        <f t="shared" si="8"/>
        <v>0</v>
      </c>
    </row>
    <row r="38" spans="1:27">
      <c r="A38" s="14"/>
      <c r="B38" s="31"/>
      <c r="C38" s="28" t="s">
        <v>633</v>
      </c>
      <c r="D38" s="67" t="s">
        <v>69</v>
      </c>
      <c r="E38" s="29">
        <f>I38+M38+Q38+U38+Y38</f>
        <v>1</v>
      </c>
      <c r="F38" s="32">
        <v>2573.9</v>
      </c>
      <c r="G38" s="32">
        <f t="shared" si="0"/>
        <v>2573.9</v>
      </c>
      <c r="H38" s="67"/>
      <c r="I38" s="67"/>
      <c r="J38" s="32">
        <f t="shared" si="9"/>
        <v>2573.9</v>
      </c>
      <c r="K38" s="32">
        <f t="shared" si="10"/>
        <v>0</v>
      </c>
      <c r="L38" s="67"/>
      <c r="M38" s="67"/>
      <c r="N38" s="32">
        <f t="shared" si="1"/>
        <v>2573.9</v>
      </c>
      <c r="O38" s="32">
        <f t="shared" si="2"/>
        <v>0</v>
      </c>
      <c r="P38" s="67"/>
      <c r="Q38" s="67">
        <v>1</v>
      </c>
      <c r="R38" s="32">
        <f t="shared" si="3"/>
        <v>2573.9</v>
      </c>
      <c r="S38" s="32">
        <f t="shared" si="4"/>
        <v>2573.9</v>
      </c>
      <c r="T38" s="67"/>
      <c r="U38" s="67"/>
      <c r="V38" s="32">
        <f t="shared" si="5"/>
        <v>2573.9</v>
      </c>
      <c r="W38" s="32">
        <f t="shared" si="6"/>
        <v>0</v>
      </c>
      <c r="X38" s="67"/>
      <c r="Y38" s="67"/>
      <c r="Z38" s="32">
        <f t="shared" si="7"/>
        <v>2573.9</v>
      </c>
      <c r="AA38" s="32">
        <f t="shared" si="8"/>
        <v>0</v>
      </c>
    </row>
    <row r="39" spans="1:27">
      <c r="A39" s="14"/>
      <c r="B39" s="31"/>
      <c r="C39" s="28" t="s">
        <v>634</v>
      </c>
      <c r="D39" s="67" t="s">
        <v>69</v>
      </c>
      <c r="E39" s="29">
        <v>1</v>
      </c>
      <c r="F39" s="32">
        <v>2531.6999999999998</v>
      </c>
      <c r="G39" s="32">
        <f t="shared" si="0"/>
        <v>2531.6999999999998</v>
      </c>
      <c r="H39" s="67"/>
      <c r="I39" s="67"/>
      <c r="J39" s="32">
        <f t="shared" si="9"/>
        <v>2531.6999999999998</v>
      </c>
      <c r="K39" s="32">
        <f t="shared" si="10"/>
        <v>0</v>
      </c>
      <c r="L39" s="67"/>
      <c r="M39" s="67">
        <v>1</v>
      </c>
      <c r="N39" s="32">
        <f t="shared" si="1"/>
        <v>2531.6999999999998</v>
      </c>
      <c r="O39" s="32">
        <f t="shared" si="2"/>
        <v>2531.6999999999998</v>
      </c>
      <c r="P39" s="67"/>
      <c r="Q39" s="67"/>
      <c r="R39" s="32">
        <f t="shared" si="3"/>
        <v>2531.6999999999998</v>
      </c>
      <c r="S39" s="32">
        <f t="shared" si="4"/>
        <v>0</v>
      </c>
      <c r="T39" s="67"/>
      <c r="U39" s="67"/>
      <c r="V39" s="32">
        <f t="shared" si="5"/>
        <v>2531.6999999999998</v>
      </c>
      <c r="W39" s="32">
        <f t="shared" si="6"/>
        <v>0</v>
      </c>
      <c r="X39" s="67"/>
      <c r="Y39" s="67"/>
      <c r="Z39" s="32">
        <f t="shared" si="7"/>
        <v>2531.6999999999998</v>
      </c>
      <c r="AA39" s="32">
        <f t="shared" si="8"/>
        <v>0</v>
      </c>
    </row>
    <row r="40" spans="1:27">
      <c r="A40" s="14"/>
      <c r="B40" s="31"/>
      <c r="C40" s="28" t="s">
        <v>635</v>
      </c>
      <c r="D40" s="67" t="s">
        <v>69</v>
      </c>
      <c r="E40" s="29">
        <f t="shared" ref="E40:E51" si="12">I40+M40+Q40+U40+Y40</f>
        <v>1</v>
      </c>
      <c r="F40" s="32">
        <v>2425</v>
      </c>
      <c r="G40" s="32">
        <f t="shared" si="0"/>
        <v>2425</v>
      </c>
      <c r="H40" s="67"/>
      <c r="I40" s="67"/>
      <c r="J40" s="32">
        <f t="shared" si="9"/>
        <v>2425</v>
      </c>
      <c r="K40" s="32">
        <f t="shared" si="10"/>
        <v>0</v>
      </c>
      <c r="L40" s="67"/>
      <c r="M40" s="67">
        <v>1</v>
      </c>
      <c r="N40" s="32">
        <f t="shared" si="1"/>
        <v>2425</v>
      </c>
      <c r="O40" s="32">
        <f t="shared" si="2"/>
        <v>2425</v>
      </c>
      <c r="P40" s="67"/>
      <c r="Q40" s="67"/>
      <c r="R40" s="32">
        <f t="shared" si="3"/>
        <v>2425</v>
      </c>
      <c r="S40" s="32">
        <f t="shared" si="4"/>
        <v>0</v>
      </c>
      <c r="T40" s="67"/>
      <c r="U40" s="67"/>
      <c r="V40" s="32">
        <f t="shared" si="5"/>
        <v>2425</v>
      </c>
      <c r="W40" s="32">
        <f t="shared" si="6"/>
        <v>0</v>
      </c>
      <c r="X40" s="67"/>
      <c r="Y40" s="67"/>
      <c r="Z40" s="32">
        <f t="shared" si="7"/>
        <v>2425</v>
      </c>
      <c r="AA40" s="32">
        <f t="shared" si="8"/>
        <v>0</v>
      </c>
    </row>
    <row r="41" spans="1:27">
      <c r="A41" s="14"/>
      <c r="B41" s="31"/>
      <c r="C41" s="28" t="s">
        <v>636</v>
      </c>
      <c r="D41" s="67" t="s">
        <v>69</v>
      </c>
      <c r="E41" s="29">
        <f t="shared" si="12"/>
        <v>1</v>
      </c>
      <c r="F41" s="32">
        <v>2289.6999999999998</v>
      </c>
      <c r="G41" s="32">
        <f t="shared" si="0"/>
        <v>2289.6999999999998</v>
      </c>
      <c r="H41" s="67"/>
      <c r="I41" s="67"/>
      <c r="J41" s="32">
        <f t="shared" si="9"/>
        <v>2289.6999999999998</v>
      </c>
      <c r="K41" s="32">
        <f t="shared" si="10"/>
        <v>0</v>
      </c>
      <c r="L41" s="67"/>
      <c r="M41" s="67">
        <v>1</v>
      </c>
      <c r="N41" s="32">
        <f t="shared" si="1"/>
        <v>2289.6999999999998</v>
      </c>
      <c r="O41" s="32">
        <f t="shared" si="2"/>
        <v>2289.6999999999998</v>
      </c>
      <c r="P41" s="67"/>
      <c r="Q41" s="67"/>
      <c r="R41" s="32">
        <f t="shared" si="3"/>
        <v>2289.6999999999998</v>
      </c>
      <c r="S41" s="32">
        <f t="shared" si="4"/>
        <v>0</v>
      </c>
      <c r="T41" s="67"/>
      <c r="U41" s="67"/>
      <c r="V41" s="32">
        <f t="shared" si="5"/>
        <v>2289.6999999999998</v>
      </c>
      <c r="W41" s="32">
        <f t="shared" si="6"/>
        <v>0</v>
      </c>
      <c r="X41" s="67"/>
      <c r="Y41" s="67"/>
      <c r="Z41" s="32">
        <f t="shared" si="7"/>
        <v>2289.6999999999998</v>
      </c>
      <c r="AA41" s="32">
        <f t="shared" si="8"/>
        <v>0</v>
      </c>
    </row>
    <row r="42" spans="1:27">
      <c r="A42" s="14"/>
      <c r="B42" s="31"/>
      <c r="C42" s="28" t="s">
        <v>637</v>
      </c>
      <c r="D42" s="67" t="s">
        <v>69</v>
      </c>
      <c r="E42" s="29">
        <f t="shared" si="12"/>
        <v>1</v>
      </c>
      <c r="F42" s="32">
        <v>2675.7</v>
      </c>
      <c r="G42" s="32">
        <f t="shared" si="0"/>
        <v>2675.7</v>
      </c>
      <c r="H42" s="67"/>
      <c r="I42" s="67"/>
      <c r="J42" s="32">
        <f t="shared" si="9"/>
        <v>2675.7</v>
      </c>
      <c r="K42" s="32">
        <f t="shared" si="10"/>
        <v>0</v>
      </c>
      <c r="L42" s="67"/>
      <c r="M42" s="67"/>
      <c r="N42" s="32">
        <f t="shared" si="1"/>
        <v>2675.7</v>
      </c>
      <c r="O42" s="32">
        <f t="shared" si="2"/>
        <v>0</v>
      </c>
      <c r="P42" s="67"/>
      <c r="Q42" s="67"/>
      <c r="R42" s="32">
        <f t="shared" si="3"/>
        <v>2675.7</v>
      </c>
      <c r="S42" s="32">
        <f t="shared" si="4"/>
        <v>0</v>
      </c>
      <c r="T42" s="67"/>
      <c r="U42" s="67">
        <v>1</v>
      </c>
      <c r="V42" s="32">
        <f t="shared" si="5"/>
        <v>2675.7</v>
      </c>
      <c r="W42" s="32">
        <f t="shared" si="6"/>
        <v>2675.7</v>
      </c>
      <c r="X42" s="67"/>
      <c r="Y42" s="67"/>
      <c r="Z42" s="32">
        <f t="shared" si="7"/>
        <v>2675.7</v>
      </c>
      <c r="AA42" s="32">
        <f t="shared" si="8"/>
        <v>0</v>
      </c>
    </row>
    <row r="43" spans="1:27">
      <c r="A43" s="14"/>
      <c r="B43" s="31"/>
      <c r="C43" s="28" t="s">
        <v>638</v>
      </c>
      <c r="D43" s="67" t="s">
        <v>69</v>
      </c>
      <c r="E43" s="29">
        <f t="shared" si="12"/>
        <v>1</v>
      </c>
      <c r="F43" s="32">
        <v>2681.3</v>
      </c>
      <c r="G43" s="32">
        <f t="shared" si="0"/>
        <v>2681.3</v>
      </c>
      <c r="H43" s="67"/>
      <c r="I43" s="67"/>
      <c r="J43" s="32">
        <f t="shared" si="9"/>
        <v>2681.3</v>
      </c>
      <c r="K43" s="32">
        <f t="shared" si="10"/>
        <v>0</v>
      </c>
      <c r="L43" s="67"/>
      <c r="M43" s="67"/>
      <c r="N43" s="32">
        <f t="shared" si="1"/>
        <v>2681.3</v>
      </c>
      <c r="O43" s="32">
        <f t="shared" si="2"/>
        <v>0</v>
      </c>
      <c r="P43" s="67"/>
      <c r="Q43" s="67"/>
      <c r="R43" s="32">
        <f t="shared" si="3"/>
        <v>2681.3</v>
      </c>
      <c r="S43" s="32">
        <f t="shared" si="4"/>
        <v>0</v>
      </c>
      <c r="T43" s="67"/>
      <c r="U43" s="67">
        <v>1</v>
      </c>
      <c r="V43" s="32">
        <f t="shared" si="5"/>
        <v>2681.3</v>
      </c>
      <c r="W43" s="32">
        <f t="shared" si="6"/>
        <v>2681.3</v>
      </c>
      <c r="X43" s="67"/>
      <c r="Y43" s="67"/>
      <c r="Z43" s="32">
        <f t="shared" si="7"/>
        <v>2681.3</v>
      </c>
      <c r="AA43" s="32">
        <f t="shared" si="8"/>
        <v>0</v>
      </c>
    </row>
    <row r="44" spans="1:27">
      <c r="A44" s="14"/>
      <c r="B44" s="31"/>
      <c r="C44" s="28" t="s">
        <v>639</v>
      </c>
      <c r="D44" s="67" t="s">
        <v>69</v>
      </c>
      <c r="E44" s="29">
        <f t="shared" si="12"/>
        <v>1</v>
      </c>
      <c r="F44" s="32">
        <v>2595.6999999999998</v>
      </c>
      <c r="G44" s="32">
        <f t="shared" si="0"/>
        <v>2595.6999999999998</v>
      </c>
      <c r="H44" s="67"/>
      <c r="I44" s="67"/>
      <c r="J44" s="32">
        <f t="shared" si="9"/>
        <v>2595.6999999999998</v>
      </c>
      <c r="K44" s="32">
        <f t="shared" si="10"/>
        <v>0</v>
      </c>
      <c r="L44" s="67"/>
      <c r="M44" s="67"/>
      <c r="N44" s="32">
        <f t="shared" si="1"/>
        <v>2595.6999999999998</v>
      </c>
      <c r="O44" s="32">
        <f t="shared" si="2"/>
        <v>0</v>
      </c>
      <c r="P44" s="67"/>
      <c r="Q44" s="67"/>
      <c r="R44" s="32">
        <f t="shared" si="3"/>
        <v>2595.6999999999998</v>
      </c>
      <c r="S44" s="32">
        <f t="shared" si="4"/>
        <v>0</v>
      </c>
      <c r="T44" s="67"/>
      <c r="U44" s="67">
        <v>1</v>
      </c>
      <c r="V44" s="32">
        <f t="shared" si="5"/>
        <v>2595.6999999999998</v>
      </c>
      <c r="W44" s="32">
        <f t="shared" si="6"/>
        <v>2595.6999999999998</v>
      </c>
      <c r="X44" s="67"/>
      <c r="Y44" s="67"/>
      <c r="Z44" s="32">
        <f t="shared" si="7"/>
        <v>2595.6999999999998</v>
      </c>
      <c r="AA44" s="32">
        <f t="shared" si="8"/>
        <v>0</v>
      </c>
    </row>
    <row r="45" spans="1:27">
      <c r="A45" s="14"/>
      <c r="B45" s="31"/>
      <c r="C45" s="28" t="s">
        <v>640</v>
      </c>
      <c r="D45" s="67" t="s">
        <v>69</v>
      </c>
      <c r="E45" s="29">
        <f t="shared" si="12"/>
        <v>1</v>
      </c>
      <c r="F45" s="32">
        <v>2283</v>
      </c>
      <c r="G45" s="32">
        <f t="shared" si="0"/>
        <v>2283</v>
      </c>
      <c r="H45" s="67"/>
      <c r="I45" s="67"/>
      <c r="J45" s="32">
        <f t="shared" si="9"/>
        <v>2283</v>
      </c>
      <c r="K45" s="32">
        <f t="shared" si="10"/>
        <v>0</v>
      </c>
      <c r="L45" s="67"/>
      <c r="M45" s="67"/>
      <c r="N45" s="32">
        <f t="shared" si="1"/>
        <v>2283</v>
      </c>
      <c r="O45" s="32">
        <f t="shared" si="2"/>
        <v>0</v>
      </c>
      <c r="P45" s="67"/>
      <c r="Q45" s="67"/>
      <c r="R45" s="32">
        <f t="shared" si="3"/>
        <v>2283</v>
      </c>
      <c r="S45" s="32">
        <f t="shared" si="4"/>
        <v>0</v>
      </c>
      <c r="T45" s="67"/>
      <c r="U45" s="67">
        <v>1</v>
      </c>
      <c r="V45" s="32">
        <f t="shared" si="5"/>
        <v>2283</v>
      </c>
      <c r="W45" s="32">
        <f t="shared" si="6"/>
        <v>2283</v>
      </c>
      <c r="X45" s="67"/>
      <c r="Y45" s="67"/>
      <c r="Z45" s="32">
        <f t="shared" si="7"/>
        <v>2283</v>
      </c>
      <c r="AA45" s="32">
        <f t="shared" si="8"/>
        <v>0</v>
      </c>
    </row>
    <row r="46" spans="1:27">
      <c r="A46" s="14"/>
      <c r="B46" s="31"/>
      <c r="C46" s="28" t="s">
        <v>641</v>
      </c>
      <c r="D46" s="67" t="s">
        <v>69</v>
      </c>
      <c r="E46" s="29">
        <f t="shared" si="12"/>
        <v>1</v>
      </c>
      <c r="F46" s="32">
        <v>2595.6999999999998</v>
      </c>
      <c r="G46" s="32">
        <f t="shared" si="0"/>
        <v>2595.6999999999998</v>
      </c>
      <c r="H46" s="67"/>
      <c r="I46" s="67"/>
      <c r="J46" s="32">
        <f t="shared" si="9"/>
        <v>2595.6999999999998</v>
      </c>
      <c r="K46" s="32">
        <f t="shared" si="10"/>
        <v>0</v>
      </c>
      <c r="L46" s="67"/>
      <c r="M46" s="67"/>
      <c r="N46" s="32">
        <f t="shared" si="1"/>
        <v>2595.6999999999998</v>
      </c>
      <c r="O46" s="32">
        <f t="shared" si="2"/>
        <v>0</v>
      </c>
      <c r="P46" s="67"/>
      <c r="Q46" s="67"/>
      <c r="R46" s="32">
        <f t="shared" si="3"/>
        <v>2595.6999999999998</v>
      </c>
      <c r="S46" s="32">
        <f t="shared" si="4"/>
        <v>0</v>
      </c>
      <c r="T46" s="67"/>
      <c r="U46" s="67">
        <v>1</v>
      </c>
      <c r="V46" s="32">
        <f t="shared" si="5"/>
        <v>2595.6999999999998</v>
      </c>
      <c r="W46" s="32">
        <f t="shared" si="6"/>
        <v>2595.6999999999998</v>
      </c>
      <c r="X46" s="67"/>
      <c r="Y46" s="67"/>
      <c r="Z46" s="32">
        <f t="shared" si="7"/>
        <v>2595.6999999999998</v>
      </c>
      <c r="AA46" s="32">
        <f t="shared" si="8"/>
        <v>0</v>
      </c>
    </row>
    <row r="47" spans="1:27">
      <c r="A47" s="14"/>
      <c r="B47" s="31"/>
      <c r="C47" s="28" t="s">
        <v>642</v>
      </c>
      <c r="D47" s="67" t="s">
        <v>69</v>
      </c>
      <c r="E47" s="29">
        <f t="shared" si="12"/>
        <v>1</v>
      </c>
      <c r="F47" s="32">
        <v>533.5</v>
      </c>
      <c r="G47" s="32">
        <f t="shared" si="0"/>
        <v>533.5</v>
      </c>
      <c r="H47" s="67"/>
      <c r="I47" s="67"/>
      <c r="J47" s="32">
        <f t="shared" si="9"/>
        <v>533.5</v>
      </c>
      <c r="K47" s="32">
        <f t="shared" si="10"/>
        <v>0</v>
      </c>
      <c r="L47" s="67"/>
      <c r="M47" s="67">
        <v>1</v>
      </c>
      <c r="N47" s="32">
        <f t="shared" si="1"/>
        <v>533.5</v>
      </c>
      <c r="O47" s="32">
        <f t="shared" si="2"/>
        <v>533.5</v>
      </c>
      <c r="P47" s="67"/>
      <c r="Q47" s="67"/>
      <c r="R47" s="32">
        <f t="shared" si="3"/>
        <v>533.5</v>
      </c>
      <c r="S47" s="32">
        <f t="shared" si="4"/>
        <v>0</v>
      </c>
      <c r="T47" s="67"/>
      <c r="U47" s="67"/>
      <c r="V47" s="32">
        <f t="shared" si="5"/>
        <v>533.5</v>
      </c>
      <c r="W47" s="32">
        <f t="shared" si="6"/>
        <v>0</v>
      </c>
      <c r="X47" s="67"/>
      <c r="Y47" s="67"/>
      <c r="Z47" s="32">
        <f t="shared" si="7"/>
        <v>533.5</v>
      </c>
      <c r="AA47" s="32">
        <f t="shared" si="8"/>
        <v>0</v>
      </c>
    </row>
    <row r="48" spans="1:27">
      <c r="A48" s="14"/>
      <c r="B48" s="31"/>
      <c r="C48" s="28" t="s">
        <v>643</v>
      </c>
      <c r="D48" s="67" t="s">
        <v>69</v>
      </c>
      <c r="E48" s="29">
        <f t="shared" si="12"/>
        <v>1</v>
      </c>
      <c r="F48" s="32">
        <v>3068.7</v>
      </c>
      <c r="G48" s="32">
        <f t="shared" si="0"/>
        <v>3068.7</v>
      </c>
      <c r="H48" s="67"/>
      <c r="I48" s="67"/>
      <c r="J48" s="32">
        <f t="shared" si="9"/>
        <v>3068.7</v>
      </c>
      <c r="K48" s="32">
        <f t="shared" si="10"/>
        <v>0</v>
      </c>
      <c r="L48" s="67"/>
      <c r="M48" s="67"/>
      <c r="N48" s="32">
        <f t="shared" si="1"/>
        <v>3068.7</v>
      </c>
      <c r="O48" s="32">
        <f t="shared" si="2"/>
        <v>0</v>
      </c>
      <c r="P48" s="67"/>
      <c r="Q48" s="67"/>
      <c r="R48" s="32">
        <f t="shared" si="3"/>
        <v>3068.7</v>
      </c>
      <c r="S48" s="32">
        <f t="shared" si="4"/>
        <v>0</v>
      </c>
      <c r="T48" s="67"/>
      <c r="U48" s="67"/>
      <c r="V48" s="32">
        <f t="shared" si="5"/>
        <v>3068.7</v>
      </c>
      <c r="W48" s="32">
        <f t="shared" si="6"/>
        <v>0</v>
      </c>
      <c r="X48" s="67"/>
      <c r="Y48" s="67">
        <v>1</v>
      </c>
      <c r="Z48" s="32">
        <f t="shared" si="7"/>
        <v>3068.7</v>
      </c>
      <c r="AA48" s="32">
        <f t="shared" si="8"/>
        <v>3068.7</v>
      </c>
    </row>
    <row r="49" spans="1:27">
      <c r="A49" s="14"/>
      <c r="B49" s="31"/>
      <c r="C49" s="28" t="s">
        <v>644</v>
      </c>
      <c r="D49" s="67" t="s">
        <v>69</v>
      </c>
      <c r="E49" s="29">
        <f t="shared" si="12"/>
        <v>1</v>
      </c>
      <c r="F49" s="32">
        <v>1521.1</v>
      </c>
      <c r="G49" s="32">
        <f t="shared" si="0"/>
        <v>1521.1</v>
      </c>
      <c r="H49" s="67"/>
      <c r="I49" s="67"/>
      <c r="J49" s="32">
        <f t="shared" si="9"/>
        <v>1521.1</v>
      </c>
      <c r="K49" s="32">
        <f t="shared" si="10"/>
        <v>0</v>
      </c>
      <c r="L49" s="67"/>
      <c r="M49" s="67"/>
      <c r="N49" s="32">
        <f t="shared" si="1"/>
        <v>1521.1</v>
      </c>
      <c r="O49" s="32">
        <f t="shared" si="2"/>
        <v>0</v>
      </c>
      <c r="P49" s="67"/>
      <c r="Q49" s="67"/>
      <c r="R49" s="32">
        <f t="shared" si="3"/>
        <v>1521.1</v>
      </c>
      <c r="S49" s="32">
        <f t="shared" si="4"/>
        <v>0</v>
      </c>
      <c r="T49" s="67"/>
      <c r="U49" s="67"/>
      <c r="V49" s="32">
        <f t="shared" si="5"/>
        <v>1521.1</v>
      </c>
      <c r="W49" s="32">
        <f t="shared" si="6"/>
        <v>0</v>
      </c>
      <c r="X49" s="67"/>
      <c r="Y49" s="67">
        <v>1</v>
      </c>
      <c r="Z49" s="32">
        <f t="shared" si="7"/>
        <v>1521.1</v>
      </c>
      <c r="AA49" s="32">
        <f t="shared" si="8"/>
        <v>1521.1</v>
      </c>
    </row>
    <row r="50" spans="1:27">
      <c r="A50" s="14"/>
      <c r="B50" s="31"/>
      <c r="C50" s="28" t="s">
        <v>645</v>
      </c>
      <c r="D50" s="67" t="s">
        <v>69</v>
      </c>
      <c r="E50" s="29">
        <f t="shared" si="12"/>
        <v>1</v>
      </c>
      <c r="F50" s="32">
        <v>2167.6</v>
      </c>
      <c r="G50" s="32">
        <f t="shared" si="0"/>
        <v>2167.6</v>
      </c>
      <c r="H50" s="67"/>
      <c r="I50" s="67"/>
      <c r="J50" s="32">
        <f t="shared" si="9"/>
        <v>2167.6</v>
      </c>
      <c r="K50" s="32">
        <f t="shared" si="10"/>
        <v>0</v>
      </c>
      <c r="L50" s="67"/>
      <c r="M50" s="67"/>
      <c r="N50" s="32">
        <f t="shared" si="1"/>
        <v>2167.6</v>
      </c>
      <c r="O50" s="32">
        <f t="shared" si="2"/>
        <v>0</v>
      </c>
      <c r="P50" s="67"/>
      <c r="Q50" s="67"/>
      <c r="R50" s="32">
        <f t="shared" si="3"/>
        <v>2167.6</v>
      </c>
      <c r="S50" s="32">
        <f t="shared" si="4"/>
        <v>0</v>
      </c>
      <c r="T50" s="67"/>
      <c r="U50" s="67"/>
      <c r="V50" s="32">
        <f t="shared" si="5"/>
        <v>2167.6</v>
      </c>
      <c r="W50" s="32">
        <f t="shared" si="6"/>
        <v>0</v>
      </c>
      <c r="X50" s="67"/>
      <c r="Y50" s="67">
        <v>1</v>
      </c>
      <c r="Z50" s="32">
        <f t="shared" si="7"/>
        <v>2167.6</v>
      </c>
      <c r="AA50" s="32">
        <f t="shared" si="8"/>
        <v>2167.6</v>
      </c>
    </row>
    <row r="51" spans="1:27">
      <c r="A51" s="14"/>
      <c r="B51" s="31"/>
      <c r="C51" s="28" t="s">
        <v>646</v>
      </c>
      <c r="D51" s="67" t="s">
        <v>69</v>
      </c>
      <c r="E51" s="29">
        <f t="shared" si="12"/>
        <v>1</v>
      </c>
      <c r="F51" s="32">
        <v>1288.5</v>
      </c>
      <c r="G51" s="32">
        <f t="shared" si="0"/>
        <v>1288.5</v>
      </c>
      <c r="H51" s="67"/>
      <c r="I51" s="67"/>
      <c r="J51" s="32">
        <f t="shared" si="9"/>
        <v>1288.5</v>
      </c>
      <c r="K51" s="32">
        <f t="shared" si="10"/>
        <v>0</v>
      </c>
      <c r="L51" s="67"/>
      <c r="M51" s="67"/>
      <c r="N51" s="32">
        <f t="shared" si="1"/>
        <v>1288.5</v>
      </c>
      <c r="O51" s="32">
        <f t="shared" si="2"/>
        <v>0</v>
      </c>
      <c r="P51" s="67"/>
      <c r="Q51" s="67"/>
      <c r="R51" s="32">
        <f t="shared" si="3"/>
        <v>1288.5</v>
      </c>
      <c r="S51" s="32">
        <f t="shared" si="4"/>
        <v>0</v>
      </c>
      <c r="T51" s="67"/>
      <c r="U51" s="67"/>
      <c r="V51" s="32">
        <f t="shared" si="5"/>
        <v>1288.5</v>
      </c>
      <c r="W51" s="32">
        <f t="shared" si="6"/>
        <v>0</v>
      </c>
      <c r="X51" s="67"/>
      <c r="Y51" s="67">
        <v>1</v>
      </c>
      <c r="Z51" s="32">
        <f t="shared" si="7"/>
        <v>1288.5</v>
      </c>
      <c r="AA51" s="32">
        <f t="shared" si="8"/>
        <v>1288.5</v>
      </c>
    </row>
    <row r="52" spans="1:27" ht="6" customHeight="1">
      <c r="A52" s="14"/>
      <c r="B52" s="31"/>
      <c r="C52" s="28"/>
      <c r="D52" s="67"/>
      <c r="E52" s="67"/>
      <c r="F52" s="32"/>
      <c r="G52" s="32"/>
      <c r="H52" s="67"/>
      <c r="I52" s="67"/>
      <c r="J52" s="32"/>
      <c r="K52" s="32"/>
      <c r="L52" s="67"/>
      <c r="M52" s="67"/>
      <c r="N52" s="32"/>
      <c r="O52" s="32"/>
      <c r="P52" s="67"/>
      <c r="Q52" s="67"/>
      <c r="R52" s="32"/>
      <c r="S52" s="32"/>
      <c r="T52" s="67"/>
      <c r="U52" s="67"/>
      <c r="V52" s="32"/>
      <c r="W52" s="32"/>
      <c r="X52" s="67"/>
      <c r="Y52" s="67"/>
      <c r="Z52" s="32"/>
      <c r="AA52" s="32"/>
    </row>
    <row r="53" spans="1:27">
      <c r="A53" s="14"/>
      <c r="B53" s="31"/>
      <c r="C53" s="28" t="s">
        <v>609</v>
      </c>
      <c r="D53" s="67" t="s">
        <v>69</v>
      </c>
      <c r="E53" s="29">
        <f>I53+M53+Q53+U53+Y53</f>
        <v>18</v>
      </c>
      <c r="F53" s="32">
        <v>543.79999999999995</v>
      </c>
      <c r="G53" s="32">
        <f>K53+O53+S53+W53+AA53</f>
        <v>9788.3999999999978</v>
      </c>
      <c r="H53" s="67"/>
      <c r="I53" s="67">
        <v>0</v>
      </c>
      <c r="J53" s="32">
        <f t="shared" ref="J53:J56" si="13">$F53</f>
        <v>543.79999999999995</v>
      </c>
      <c r="K53" s="32">
        <f t="shared" ref="K53:K56" si="14">I53*J53</f>
        <v>0</v>
      </c>
      <c r="L53" s="67"/>
      <c r="M53" s="67">
        <v>8</v>
      </c>
      <c r="N53" s="32">
        <f t="shared" si="1"/>
        <v>543.79999999999995</v>
      </c>
      <c r="O53" s="32">
        <f t="shared" si="2"/>
        <v>4350.3999999999996</v>
      </c>
      <c r="P53" s="67"/>
      <c r="Q53" s="67">
        <v>7</v>
      </c>
      <c r="R53" s="32">
        <f t="shared" si="3"/>
        <v>543.79999999999995</v>
      </c>
      <c r="S53" s="32">
        <f t="shared" si="4"/>
        <v>3806.5999999999995</v>
      </c>
      <c r="T53" s="67"/>
      <c r="U53" s="67">
        <v>2</v>
      </c>
      <c r="V53" s="32">
        <f t="shared" si="5"/>
        <v>543.79999999999995</v>
      </c>
      <c r="W53" s="32">
        <f t="shared" si="6"/>
        <v>1087.5999999999999</v>
      </c>
      <c r="X53" s="67"/>
      <c r="Y53" s="67">
        <v>1</v>
      </c>
      <c r="Z53" s="32">
        <f t="shared" si="7"/>
        <v>543.79999999999995</v>
      </c>
      <c r="AA53" s="32">
        <f t="shared" si="8"/>
        <v>543.79999999999995</v>
      </c>
    </row>
    <row r="54" spans="1:27">
      <c r="A54" s="14"/>
      <c r="B54" s="31"/>
      <c r="C54" s="28" t="s">
        <v>178</v>
      </c>
      <c r="D54" s="67" t="s">
        <v>69</v>
      </c>
      <c r="E54" s="29">
        <f>I54+M54+Q54+U54+Y54</f>
        <v>6</v>
      </c>
      <c r="F54" s="32">
        <v>1600</v>
      </c>
      <c r="G54" s="32">
        <f>K54+O54+S54+W54+AA54</f>
        <v>9600</v>
      </c>
      <c r="H54" s="67"/>
      <c r="I54" s="67"/>
      <c r="J54" s="32">
        <f t="shared" si="13"/>
        <v>1600</v>
      </c>
      <c r="K54" s="32">
        <f t="shared" si="14"/>
        <v>0</v>
      </c>
      <c r="L54" s="67"/>
      <c r="M54" s="67"/>
      <c r="N54" s="32">
        <f t="shared" si="1"/>
        <v>1600</v>
      </c>
      <c r="O54" s="32">
        <f t="shared" si="2"/>
        <v>0</v>
      </c>
      <c r="P54" s="67"/>
      <c r="Q54" s="67"/>
      <c r="R54" s="32">
        <f t="shared" si="3"/>
        <v>1600</v>
      </c>
      <c r="S54" s="32">
        <f t="shared" si="4"/>
        <v>0</v>
      </c>
      <c r="T54" s="67"/>
      <c r="U54" s="67">
        <v>6</v>
      </c>
      <c r="V54" s="32">
        <f t="shared" si="5"/>
        <v>1600</v>
      </c>
      <c r="W54" s="32">
        <f t="shared" si="6"/>
        <v>9600</v>
      </c>
      <c r="X54" s="67"/>
      <c r="Y54" s="67"/>
      <c r="Z54" s="32">
        <f t="shared" si="7"/>
        <v>1600</v>
      </c>
      <c r="AA54" s="32">
        <f t="shared" si="8"/>
        <v>0</v>
      </c>
    </row>
    <row r="55" spans="1:27">
      <c r="A55" s="14"/>
      <c r="B55" s="31"/>
      <c r="C55" s="28" t="s">
        <v>214</v>
      </c>
      <c r="D55" s="67" t="s">
        <v>69</v>
      </c>
      <c r="E55" s="29">
        <f>I55+M55+Q55+U55+Y55</f>
        <v>2</v>
      </c>
      <c r="F55" s="32">
        <v>5518.2</v>
      </c>
      <c r="G55" s="32">
        <f>K55+O55+S55+W55+AA55</f>
        <v>11036.4</v>
      </c>
      <c r="H55" s="67"/>
      <c r="I55" s="67"/>
      <c r="J55" s="32">
        <f t="shared" si="13"/>
        <v>5518.2</v>
      </c>
      <c r="K55" s="32">
        <f t="shared" si="14"/>
        <v>0</v>
      </c>
      <c r="L55" s="67"/>
      <c r="M55" s="67">
        <v>1</v>
      </c>
      <c r="N55" s="32">
        <f t="shared" si="1"/>
        <v>5518.2</v>
      </c>
      <c r="O55" s="32">
        <f t="shared" si="2"/>
        <v>5518.2</v>
      </c>
      <c r="P55" s="67"/>
      <c r="Q55" s="67"/>
      <c r="R55" s="32">
        <f t="shared" si="3"/>
        <v>5518.2</v>
      </c>
      <c r="S55" s="32">
        <f t="shared" si="4"/>
        <v>0</v>
      </c>
      <c r="T55" s="67"/>
      <c r="U55" s="67">
        <v>1</v>
      </c>
      <c r="V55" s="32">
        <f t="shared" si="5"/>
        <v>5518.2</v>
      </c>
      <c r="W55" s="32">
        <f t="shared" si="6"/>
        <v>5518.2</v>
      </c>
      <c r="X55" s="67"/>
      <c r="Y55" s="67"/>
      <c r="Z55" s="32">
        <f t="shared" si="7"/>
        <v>5518.2</v>
      </c>
      <c r="AA55" s="32">
        <f t="shared" si="8"/>
        <v>0</v>
      </c>
    </row>
    <row r="56" spans="1:27">
      <c r="A56" s="14"/>
      <c r="B56" s="31"/>
      <c r="C56" s="28" t="s">
        <v>215</v>
      </c>
      <c r="D56" s="67" t="s">
        <v>69</v>
      </c>
      <c r="E56" s="29">
        <f>I56+M56+Q56+U56+Y56</f>
        <v>1</v>
      </c>
      <c r="F56" s="32">
        <v>4418</v>
      </c>
      <c r="G56" s="32">
        <f>K56+O56+S56+W56+AA56</f>
        <v>4418</v>
      </c>
      <c r="H56" s="67"/>
      <c r="I56" s="67"/>
      <c r="J56" s="32">
        <f t="shared" si="13"/>
        <v>4418</v>
      </c>
      <c r="K56" s="32">
        <f t="shared" si="14"/>
        <v>0</v>
      </c>
      <c r="L56" s="67"/>
      <c r="M56" s="67"/>
      <c r="N56" s="32">
        <f t="shared" si="1"/>
        <v>4418</v>
      </c>
      <c r="O56" s="32">
        <f t="shared" si="2"/>
        <v>0</v>
      </c>
      <c r="P56" s="67"/>
      <c r="Q56" s="67"/>
      <c r="R56" s="32">
        <f t="shared" si="3"/>
        <v>4418</v>
      </c>
      <c r="S56" s="32">
        <f t="shared" si="4"/>
        <v>0</v>
      </c>
      <c r="T56" s="67"/>
      <c r="U56" s="67">
        <v>1</v>
      </c>
      <c r="V56" s="32">
        <f t="shared" si="5"/>
        <v>4418</v>
      </c>
      <c r="W56" s="32">
        <f t="shared" si="6"/>
        <v>4418</v>
      </c>
      <c r="X56" s="67"/>
      <c r="Y56" s="67"/>
      <c r="Z56" s="32">
        <f t="shared" si="7"/>
        <v>4418</v>
      </c>
      <c r="AA56" s="32">
        <f t="shared" si="8"/>
        <v>0</v>
      </c>
    </row>
    <row r="57" spans="1:27">
      <c r="A57" s="14"/>
      <c r="B57" s="31"/>
      <c r="C57" s="28"/>
      <c r="D57" s="67"/>
      <c r="E57" s="67"/>
      <c r="F57" s="32"/>
      <c r="G57" s="32"/>
      <c r="H57" s="67"/>
      <c r="I57" s="67"/>
      <c r="J57" s="32"/>
      <c r="K57" s="32"/>
      <c r="L57" s="67"/>
      <c r="M57" s="67"/>
      <c r="N57" s="32"/>
      <c r="O57" s="32"/>
      <c r="P57" s="67"/>
      <c r="Q57" s="67"/>
      <c r="R57" s="32"/>
      <c r="S57" s="32"/>
      <c r="T57" s="67"/>
      <c r="U57" s="67"/>
      <c r="V57" s="32"/>
      <c r="W57" s="32"/>
      <c r="X57" s="67"/>
      <c r="Y57" s="67"/>
      <c r="Z57" s="32"/>
      <c r="AA57" s="32"/>
    </row>
    <row r="58" spans="1:27">
      <c r="A58" s="35"/>
      <c r="B58" s="27"/>
      <c r="C58" s="38" t="s">
        <v>177</v>
      </c>
      <c r="D58" s="68"/>
      <c r="E58" s="369"/>
      <c r="F58" s="33" t="s">
        <v>10</v>
      </c>
      <c r="G58" s="34">
        <f>K58+O58+S58+W58+AA58</f>
        <v>182842.8</v>
      </c>
      <c r="H58" s="68"/>
      <c r="I58" s="369"/>
      <c r="J58" s="33" t="s">
        <v>10</v>
      </c>
      <c r="K58" s="34">
        <f>SUM(K6:K57)</f>
        <v>27062.699999999997</v>
      </c>
      <c r="L58" s="68"/>
      <c r="M58" s="369"/>
      <c r="N58" s="33" t="s">
        <v>10</v>
      </c>
      <c r="O58" s="34">
        <f>SUM(O6:O57)</f>
        <v>70167.199999999997</v>
      </c>
      <c r="P58" s="68"/>
      <c r="Q58" s="369"/>
      <c r="R58" s="33" t="s">
        <v>10</v>
      </c>
      <c r="S58" s="34">
        <f>SUM(S6:S57)</f>
        <v>19553.3</v>
      </c>
      <c r="T58" s="68"/>
      <c r="U58" s="369"/>
      <c r="V58" s="33" t="s">
        <v>10</v>
      </c>
      <c r="W58" s="34">
        <f>SUM(W6:W57)</f>
        <v>57469.899999999994</v>
      </c>
      <c r="X58" s="68"/>
      <c r="Y58" s="369"/>
      <c r="Z58" s="33" t="s">
        <v>10</v>
      </c>
      <c r="AA58" s="34">
        <f>SUM(AA6:AA57)</f>
        <v>8589.6999999999989</v>
      </c>
    </row>
    <row r="59" spans="1:27">
      <c r="A59" s="35"/>
      <c r="B59" s="27"/>
      <c r="C59" s="36"/>
      <c r="D59" s="354"/>
      <c r="E59" s="369"/>
      <c r="F59" s="33"/>
      <c r="G59" s="34"/>
      <c r="H59" s="68"/>
      <c r="I59" s="369"/>
      <c r="J59" s="33"/>
      <c r="K59" s="34"/>
      <c r="L59" s="68"/>
      <c r="M59" s="369"/>
      <c r="N59" s="33"/>
      <c r="O59" s="34"/>
      <c r="P59" s="68"/>
      <c r="Q59" s="369"/>
      <c r="R59" s="33"/>
      <c r="S59" s="34"/>
      <c r="T59" s="68"/>
      <c r="U59" s="369"/>
      <c r="V59" s="33"/>
      <c r="W59" s="34"/>
      <c r="X59" s="68"/>
      <c r="Y59" s="369"/>
      <c r="Z59" s="33"/>
      <c r="AA59" s="34"/>
    </row>
    <row r="60" spans="1:27">
      <c r="A60" s="35"/>
      <c r="B60" s="27"/>
      <c r="C60" s="36"/>
      <c r="D60" s="354"/>
      <c r="E60" s="369"/>
      <c r="F60" s="33"/>
      <c r="G60" s="34"/>
      <c r="H60" s="69"/>
      <c r="I60" s="37"/>
      <c r="J60" s="30"/>
      <c r="K60" s="34"/>
      <c r="M60" s="37"/>
      <c r="N60" s="30"/>
      <c r="O60" s="34"/>
      <c r="Q60" s="37"/>
      <c r="R60" s="30"/>
      <c r="S60" s="34"/>
      <c r="U60" s="37"/>
      <c r="V60" s="30"/>
      <c r="W60" s="34"/>
      <c r="Y60" s="37"/>
      <c r="Z60" s="30"/>
      <c r="AA60" s="34"/>
    </row>
    <row r="61" spans="1:27">
      <c r="A61" s="462"/>
      <c r="B61" s="458"/>
      <c r="C61" s="446" t="s">
        <v>1051</v>
      </c>
      <c r="D61" s="451" t="s">
        <v>6</v>
      </c>
      <c r="E61" s="452">
        <v>1</v>
      </c>
      <c r="F61" s="453">
        <f>169400-G58</f>
        <v>-13442.799999999988</v>
      </c>
      <c r="G61" s="427">
        <f>E61*F61</f>
        <v>-13442.799999999988</v>
      </c>
      <c r="H61" s="451"/>
      <c r="I61" s="460">
        <v>0.15</v>
      </c>
      <c r="J61" s="453">
        <f>G61</f>
        <v>-13442.799999999988</v>
      </c>
      <c r="K61" s="427">
        <f>I61*J61</f>
        <v>-2016.4199999999983</v>
      </c>
      <c r="L61" s="461"/>
      <c r="M61" s="460">
        <v>0.39</v>
      </c>
      <c r="N61" s="453">
        <f>G61</f>
        <v>-13442.799999999988</v>
      </c>
      <c r="O61" s="427">
        <f>M61*N61</f>
        <v>-5242.6919999999955</v>
      </c>
      <c r="P61" s="461"/>
      <c r="Q61" s="460">
        <v>0.11</v>
      </c>
      <c r="R61" s="453">
        <f>G61</f>
        <v>-13442.799999999988</v>
      </c>
      <c r="S61" s="427">
        <f>Q61*R61</f>
        <v>-1478.7079999999987</v>
      </c>
      <c r="T61" s="461"/>
      <c r="U61" s="460">
        <v>0.3</v>
      </c>
      <c r="V61" s="453">
        <f>G61</f>
        <v>-13442.799999999988</v>
      </c>
      <c r="W61" s="427">
        <f>U61*V61</f>
        <v>-4032.8399999999965</v>
      </c>
      <c r="X61" s="461"/>
      <c r="Y61" s="460">
        <v>0.05</v>
      </c>
      <c r="Z61" s="453">
        <f>G61</f>
        <v>-13442.799999999988</v>
      </c>
      <c r="AA61" s="427">
        <f>Y61*Z61</f>
        <v>-672.13999999999942</v>
      </c>
    </row>
    <row r="62" spans="1:27">
      <c r="A62" s="14"/>
      <c r="B62" s="31"/>
      <c r="C62" s="38"/>
      <c r="D62" s="69"/>
      <c r="E62" s="37"/>
      <c r="F62" s="30"/>
      <c r="G62" s="34"/>
      <c r="H62" s="69"/>
      <c r="I62" s="37"/>
      <c r="J62" s="30"/>
      <c r="K62" s="34"/>
      <c r="M62" s="37"/>
      <c r="N62" s="30"/>
      <c r="O62" s="34"/>
      <c r="Q62" s="37"/>
      <c r="R62" s="30"/>
      <c r="S62" s="34"/>
      <c r="U62" s="37"/>
      <c r="V62" s="30"/>
      <c r="W62" s="34"/>
      <c r="Y62" s="37"/>
      <c r="Z62" s="30"/>
      <c r="AA62" s="34"/>
    </row>
    <row r="63" spans="1:27">
      <c r="A63" s="14"/>
      <c r="B63" s="31"/>
      <c r="C63" s="38"/>
      <c r="D63" s="69"/>
      <c r="E63" s="37"/>
      <c r="F63" s="30"/>
      <c r="G63" s="34"/>
      <c r="H63" s="69"/>
      <c r="I63" s="37"/>
      <c r="J63" s="30"/>
      <c r="K63" s="34"/>
      <c r="M63" s="37"/>
      <c r="N63" s="30"/>
      <c r="O63" s="34"/>
      <c r="Q63" s="37"/>
      <c r="R63" s="30"/>
      <c r="S63" s="34"/>
      <c r="U63" s="37"/>
      <c r="V63" s="30"/>
      <c r="W63" s="34"/>
      <c r="Y63" s="37"/>
      <c r="Z63" s="30"/>
      <c r="AA63" s="34"/>
    </row>
    <row r="64" spans="1:27">
      <c r="A64" s="14"/>
      <c r="B64" s="31"/>
      <c r="C64" s="38"/>
      <c r="D64" s="69"/>
      <c r="E64" s="37"/>
      <c r="F64" s="30"/>
      <c r="G64" s="34"/>
      <c r="H64" s="69"/>
      <c r="I64" s="37"/>
      <c r="J64" s="30"/>
      <c r="K64" s="34"/>
      <c r="M64" s="37"/>
      <c r="N64" s="30"/>
      <c r="O64" s="34"/>
      <c r="Q64" s="37"/>
      <c r="R64" s="30"/>
      <c r="S64" s="34"/>
      <c r="U64" s="37"/>
      <c r="V64" s="30"/>
      <c r="W64" s="34"/>
      <c r="Y64" s="37"/>
      <c r="Z64" s="30"/>
      <c r="AA64" s="34"/>
    </row>
    <row r="65" spans="1:27" ht="6" customHeight="1">
      <c r="A65" s="70"/>
      <c r="B65" s="41"/>
      <c r="C65" s="42"/>
      <c r="D65" s="41"/>
      <c r="E65" s="41"/>
      <c r="F65" s="44"/>
      <c r="G65" s="44"/>
      <c r="H65" s="41"/>
      <c r="I65" s="43"/>
      <c r="J65" s="44"/>
      <c r="K65" s="44"/>
      <c r="L65" s="41"/>
      <c r="M65" s="43"/>
      <c r="N65" s="44"/>
      <c r="O65" s="44"/>
      <c r="P65" s="41"/>
      <c r="Q65" s="43"/>
      <c r="R65" s="44"/>
      <c r="S65" s="44"/>
      <c r="T65" s="41"/>
      <c r="U65" s="43"/>
      <c r="V65" s="44"/>
      <c r="W65" s="44"/>
      <c r="X65" s="41"/>
      <c r="Y65" s="43"/>
      <c r="Z65" s="44"/>
      <c r="AA65" s="44"/>
    </row>
    <row r="66" spans="1:27" s="56" customFormat="1">
      <c r="A66" s="71"/>
      <c r="B66" s="72"/>
      <c r="C66" s="53" t="s">
        <v>7</v>
      </c>
      <c r="D66" s="52"/>
      <c r="E66" s="52"/>
      <c r="F66" s="55"/>
      <c r="G66" s="55">
        <f>G58+G61</f>
        <v>169400</v>
      </c>
      <c r="H66" s="52"/>
      <c r="I66" s="54"/>
      <c r="J66" s="55"/>
      <c r="K66" s="55">
        <f>K58+K61</f>
        <v>25046.28</v>
      </c>
      <c r="L66" s="52"/>
      <c r="M66" s="54"/>
      <c r="N66" s="55"/>
      <c r="O66" s="55">
        <f>O58+O61</f>
        <v>64924.508000000002</v>
      </c>
      <c r="P66" s="52"/>
      <c r="Q66" s="54"/>
      <c r="R66" s="55"/>
      <c r="S66" s="55">
        <f>S58+S61</f>
        <v>18074.592000000001</v>
      </c>
      <c r="T66" s="52"/>
      <c r="U66" s="54"/>
      <c r="V66" s="55"/>
      <c r="W66" s="55">
        <f>W58+W61</f>
        <v>53437.06</v>
      </c>
      <c r="X66" s="52"/>
      <c r="Y66" s="54"/>
      <c r="Z66" s="55"/>
      <c r="AA66" s="55">
        <f>AA58+AA61</f>
        <v>7917.5599999999995</v>
      </c>
    </row>
    <row r="67" spans="1:27" s="56" customFormat="1">
      <c r="A67" s="71"/>
      <c r="B67" s="72"/>
      <c r="C67" s="53" t="s">
        <v>8</v>
      </c>
      <c r="D67" s="52"/>
      <c r="E67" s="52"/>
      <c r="F67" s="55"/>
      <c r="G67" s="55">
        <f>G66*0.2</f>
        <v>33880</v>
      </c>
      <c r="H67" s="52"/>
      <c r="I67" s="54"/>
      <c r="J67" s="55"/>
      <c r="K67" s="55">
        <f>K66*0.2</f>
        <v>5009.2560000000003</v>
      </c>
      <c r="L67" s="52"/>
      <c r="M67" s="54"/>
      <c r="N67" s="55"/>
      <c r="O67" s="55">
        <f>O66*0.2</f>
        <v>12984.901600000001</v>
      </c>
      <c r="P67" s="52"/>
      <c r="Q67" s="54"/>
      <c r="R67" s="55"/>
      <c r="S67" s="55">
        <f>S66*0.2</f>
        <v>3614.9184000000005</v>
      </c>
      <c r="T67" s="52"/>
      <c r="U67" s="54"/>
      <c r="V67" s="55"/>
      <c r="W67" s="55">
        <f>W66*0.2</f>
        <v>10687.412</v>
      </c>
      <c r="X67" s="52"/>
      <c r="Y67" s="54"/>
      <c r="Z67" s="55"/>
      <c r="AA67" s="55">
        <f>AA66*0.2</f>
        <v>1583.5119999999999</v>
      </c>
    </row>
    <row r="68" spans="1:27" s="56" customFormat="1">
      <c r="A68" s="71"/>
      <c r="B68" s="72"/>
      <c r="C68" s="53" t="s">
        <v>9</v>
      </c>
      <c r="D68" s="52"/>
      <c r="E68" s="52"/>
      <c r="F68" s="55"/>
      <c r="G68" s="55">
        <f>G67+G66</f>
        <v>203280</v>
      </c>
      <c r="H68" s="52"/>
      <c r="I68" s="54"/>
      <c r="J68" s="55"/>
      <c r="K68" s="55">
        <f>K67+K66</f>
        <v>30055.536</v>
      </c>
      <c r="L68" s="52"/>
      <c r="M68" s="54"/>
      <c r="N68" s="55"/>
      <c r="O68" s="55">
        <f>O67+O66</f>
        <v>77909.409599999999</v>
      </c>
      <c r="P68" s="52"/>
      <c r="Q68" s="54"/>
      <c r="R68" s="55"/>
      <c r="S68" s="55">
        <f>S67+S66</f>
        <v>21689.510399999999</v>
      </c>
      <c r="T68" s="52"/>
      <c r="U68" s="54"/>
      <c r="V68" s="55"/>
      <c r="W68" s="55">
        <f>W67+W66</f>
        <v>64124.471999999994</v>
      </c>
      <c r="X68" s="52"/>
      <c r="Y68" s="54"/>
      <c r="Z68" s="55"/>
      <c r="AA68" s="55">
        <f>AA67+AA66</f>
        <v>9501.0720000000001</v>
      </c>
    </row>
    <row r="69" spans="1:27" ht="6.6" customHeight="1">
      <c r="A69" s="73"/>
      <c r="B69" s="74"/>
      <c r="C69" s="45"/>
      <c r="D69" s="46"/>
      <c r="E69" s="51"/>
      <c r="F69" s="48"/>
      <c r="G69" s="48"/>
      <c r="H69" s="46"/>
      <c r="I69" s="47"/>
      <c r="J69" s="48"/>
      <c r="K69" s="48"/>
      <c r="L69" s="49"/>
      <c r="M69" s="50"/>
      <c r="N69" s="48"/>
      <c r="O69" s="48"/>
      <c r="P69" s="49"/>
      <c r="Q69" s="50"/>
      <c r="R69" s="48"/>
      <c r="S69" s="48"/>
      <c r="T69" s="49"/>
      <c r="U69" s="50"/>
      <c r="V69" s="48"/>
      <c r="W69" s="48"/>
      <c r="X69" s="49"/>
      <c r="Y69" s="50"/>
      <c r="Z69" s="48"/>
      <c r="AA69" s="48"/>
    </row>
  </sheetData>
  <mergeCells count="8">
    <mergeCell ref="A5:B5"/>
    <mergeCell ref="A1:AA1"/>
    <mergeCell ref="E3:G3"/>
    <mergeCell ref="I3:K3"/>
    <mergeCell ref="M3:O3"/>
    <mergeCell ref="Q3:S3"/>
    <mergeCell ref="U3:W3"/>
    <mergeCell ref="Y3:AA3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21</vt:i4>
      </vt:variant>
      <vt:variant>
        <vt:lpstr>Plages nommées</vt:lpstr>
      </vt:variant>
      <vt:variant>
        <vt:i4>39</vt:i4>
      </vt:variant>
    </vt:vector>
  </HeadingPairs>
  <TitlesOfParts>
    <vt:vector size="60" baseType="lpstr">
      <vt:lpstr>Page de garde</vt:lpstr>
      <vt:lpstr>RECAP</vt:lpstr>
      <vt:lpstr>Ech financier</vt:lpstr>
      <vt:lpstr>LOT VRD</vt:lpstr>
      <vt:lpstr>LOT FOND</vt:lpstr>
      <vt:lpstr>LOT GO</vt:lpstr>
      <vt:lpstr>LOT ETAN</vt:lpstr>
      <vt:lpstr>LOT FACA</vt:lpstr>
      <vt:lpstr>LOT MEX</vt:lpstr>
      <vt:lpstr>LOT DEM</vt:lpstr>
      <vt:lpstr>LOT CLOI</vt:lpstr>
      <vt:lpstr>LOT PLA</vt:lpstr>
      <vt:lpstr>LOT MINT</vt:lpstr>
      <vt:lpstr>LOT SOL</vt:lpstr>
      <vt:lpstr>LOT PAU</vt:lpstr>
      <vt:lpstr>LOT CVC</vt:lpstr>
      <vt:lpstr>LOT PLB</vt:lpstr>
      <vt:lpstr>LOT FLU</vt:lpstr>
      <vt:lpstr>LOT CFO</vt:lpstr>
      <vt:lpstr>LOT CFA</vt:lpstr>
      <vt:lpstr>LOT NET</vt:lpstr>
      <vt:lpstr>'Ech financier'!Impression_des_titres</vt:lpstr>
      <vt:lpstr>'LOT CFA'!Impression_des_titres</vt:lpstr>
      <vt:lpstr>'LOT CFO'!Impression_des_titres</vt:lpstr>
      <vt:lpstr>'LOT CLOI'!Impression_des_titres</vt:lpstr>
      <vt:lpstr>'LOT CVC'!Impression_des_titres</vt:lpstr>
      <vt:lpstr>'LOT DEM'!Impression_des_titres</vt:lpstr>
      <vt:lpstr>'LOT ETAN'!Impression_des_titres</vt:lpstr>
      <vt:lpstr>'LOT FACA'!Impression_des_titres</vt:lpstr>
      <vt:lpstr>'LOT FLU'!Impression_des_titres</vt:lpstr>
      <vt:lpstr>'LOT FOND'!Impression_des_titres</vt:lpstr>
      <vt:lpstr>'LOT GO'!Impression_des_titres</vt:lpstr>
      <vt:lpstr>'LOT MEX'!Impression_des_titres</vt:lpstr>
      <vt:lpstr>'LOT MINT'!Impression_des_titres</vt:lpstr>
      <vt:lpstr>'LOT NET'!Impression_des_titres</vt:lpstr>
      <vt:lpstr>'LOT PAU'!Impression_des_titres</vt:lpstr>
      <vt:lpstr>'LOT PLA'!Impression_des_titres</vt:lpstr>
      <vt:lpstr>'LOT PLB'!Impression_des_titres</vt:lpstr>
      <vt:lpstr>'LOT SOL'!Impression_des_titres</vt:lpstr>
      <vt:lpstr>'LOT VRD'!Impression_des_titres</vt:lpstr>
      <vt:lpstr>'Ech financier'!Zone_d_impression</vt:lpstr>
      <vt:lpstr>'LOT CFA'!Zone_d_impression</vt:lpstr>
      <vt:lpstr>'LOT CFO'!Zone_d_impression</vt:lpstr>
      <vt:lpstr>'LOT CLOI'!Zone_d_impression</vt:lpstr>
      <vt:lpstr>'LOT CVC'!Zone_d_impression</vt:lpstr>
      <vt:lpstr>'LOT DEM'!Zone_d_impression</vt:lpstr>
      <vt:lpstr>'LOT ETAN'!Zone_d_impression</vt:lpstr>
      <vt:lpstr>'LOT FACA'!Zone_d_impression</vt:lpstr>
      <vt:lpstr>'LOT FLU'!Zone_d_impression</vt:lpstr>
      <vt:lpstr>'LOT FOND'!Zone_d_impression</vt:lpstr>
      <vt:lpstr>'LOT GO'!Zone_d_impression</vt:lpstr>
      <vt:lpstr>'LOT MEX'!Zone_d_impression</vt:lpstr>
      <vt:lpstr>'LOT MINT'!Zone_d_impression</vt:lpstr>
      <vt:lpstr>'LOT NET'!Zone_d_impression</vt:lpstr>
      <vt:lpstr>'LOT PAU'!Zone_d_impression</vt:lpstr>
      <vt:lpstr>'LOT PLB'!Zone_d_impression</vt:lpstr>
      <vt:lpstr>'LOT SOL'!Zone_d_impression</vt:lpstr>
      <vt:lpstr>'LOT VRD'!Zone_d_impression</vt:lpstr>
      <vt:lpstr>'Page de garde'!Zone_d_impression</vt:lpstr>
      <vt:lpstr>RECAP!Zone_d_impression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2025-06-11T19:28:53Z</dcterms:modified>
</cp:coreProperties>
</file>